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6980" activeTab="4"/>
  </bookViews>
  <sheets>
    <sheet name="pagina 1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  <sheet name="calcul" sheetId="7" r:id="rId7"/>
    <sheet name="conditii ARACIS" sheetId="8" r:id="rId8"/>
  </sheets>
  <definedNames>
    <definedName name="Cerceteaza" localSheetId="5">'COMPETENTE'!#REF!</definedName>
    <definedName name="Granita" localSheetId="5">'COMPETENTE'!#REF!</definedName>
    <definedName name="Obiective" localSheetId="5">'COMPETENTE'!#REF!</definedName>
    <definedName name="Proiecteaza" localSheetId="5">'COMPETENTE'!#REF!</definedName>
    <definedName name="_xlnm.Print_Area" localSheetId="1">'an I'!$A$1:$Q$65</definedName>
    <definedName name="_xlnm.Print_Area" localSheetId="2">'an II'!$A$1:$Q$65</definedName>
    <definedName name="_xlnm.Print_Area" localSheetId="3">'an III'!$A$1:$Q$65</definedName>
    <definedName name="_xlnm.Print_Area" localSheetId="4">'Bilant'!$A$1:$J$65</definedName>
    <definedName name="_xlnm.Print_Area" localSheetId="5">'COMPETENTE'!$A$1:$E$48</definedName>
    <definedName name="_xlnm.Print_Area" localSheetId="0">'pagina 1'!$A$1:$F$29</definedName>
  </definedNames>
  <calcPr fullCalcOnLoad="1"/>
</workbook>
</file>

<file path=xl/comments2.xml><?xml version="1.0" encoding="utf-8"?>
<comments xmlns="http://schemas.openxmlformats.org/spreadsheetml/2006/main">
  <authors>
    <author>Mihai Leonard Duduman</author>
  </authors>
  <commentList>
    <comment ref="B14" authorId="0">
      <text>
        <r>
          <rPr>
            <b/>
            <sz val="9"/>
            <rFont val="Segoe UI"/>
            <family val="0"/>
          </rPr>
          <t>Mihai Leonard Duduman:</t>
        </r>
        <r>
          <rPr>
            <sz val="9"/>
            <rFont val="Segoe UI"/>
            <family val="0"/>
          </rPr>
          <t xml:space="preserve">
Adusă din sem III la in locul Geologiei</t>
        </r>
      </text>
    </comment>
    <comment ref="B18" authorId="0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Adusa din sem 4</t>
        </r>
      </text>
    </comment>
    <comment ref="B21" authorId="0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Adusă din sem. 4 in locul informaticii</t>
        </r>
      </text>
    </comment>
    <comment ref="M25" authorId="0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Reducere de la 2 la 1 ora</t>
        </r>
      </text>
    </comment>
    <comment ref="B20" authorId="0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Adusa din sem 6 la schimb cu meteorologia </t>
        </r>
      </text>
    </comment>
    <comment ref="M22" authorId="0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Creștere nr ore lucrări </t>
        </r>
      </text>
    </comment>
  </commentList>
</comments>
</file>

<file path=xl/comments3.xml><?xml version="1.0" encoding="utf-8"?>
<comments xmlns="http://schemas.openxmlformats.org/spreadsheetml/2006/main">
  <authors>
    <author>Cipri</author>
    <author>Mihai Leonard Duduman</author>
  </authors>
  <commentList>
    <comment ref="B15" authorId="0">
      <text>
        <r>
          <rPr>
            <b/>
            <sz val="9"/>
            <rFont val="Tahoma"/>
            <family val="2"/>
          </rPr>
          <t>Leo:</t>
        </r>
        <r>
          <rPr>
            <sz val="9"/>
            <rFont val="Tahoma"/>
            <family val="2"/>
          </rPr>
          <t xml:space="preserve">
adusa din sem1 in locul Geografiei fizice</t>
        </r>
      </text>
    </comment>
    <comment ref="B23" authorId="1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Adusă din sem 2 in locul microbiologiei
Eventual de mutat in sem 1</t>
        </r>
      </text>
    </comment>
    <comment ref="B18" authorId="1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Dublat numărul de ore la lucrări</t>
        </r>
      </text>
    </comment>
    <comment ref="B40" authorId="1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Introduse la solicitarea ARACIS</t>
        </r>
      </text>
    </comment>
    <comment ref="B39" authorId="1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Inlocuieste Managementul ariilor protejate</t>
        </r>
      </text>
    </comment>
    <comment ref="B22" authorId="1">
      <text>
        <r>
          <rPr>
            <b/>
            <sz val="9"/>
            <rFont val="Segoe UI"/>
            <family val="2"/>
          </rPr>
          <t xml:space="preserve">Mihai Leonard Duduman
</t>
        </r>
        <r>
          <rPr>
            <sz val="9"/>
            <rFont val="Segoe UI"/>
            <family val="2"/>
          </rPr>
          <t>Mutat din anul 1</t>
        </r>
      </text>
    </comment>
    <comment ref="A33" authorId="1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DS Geografia Mediului</t>
        </r>
      </text>
    </comment>
  </commentList>
</comments>
</file>

<file path=xl/comments4.xml><?xml version="1.0" encoding="utf-8"?>
<comments xmlns="http://schemas.openxmlformats.org/spreadsheetml/2006/main">
  <authors>
    <author>Cipri</author>
    <author>Mihai Leonard Duduman</author>
    <author>FS User</author>
  </authors>
  <commentList>
    <comment ref="B22" authorId="0">
      <text>
        <r>
          <rPr>
            <sz val="9"/>
            <rFont val="Tahoma"/>
            <family val="2"/>
          </rPr>
          <t>Schimbare denumire</t>
        </r>
      </text>
    </comment>
    <comment ref="B36" authorId="1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Adusă din sem 2 an 2
</t>
        </r>
      </text>
    </comment>
    <comment ref="K36" authorId="2">
      <text>
        <r>
          <rPr>
            <b/>
            <sz val="9"/>
            <rFont val="Segoe UI"/>
            <family val="0"/>
          </rPr>
          <t>Leo:</t>
        </r>
        <r>
          <rPr>
            <sz val="9"/>
            <rFont val="Segoe UI"/>
            <family val="0"/>
          </rPr>
          <t xml:space="preserve">
reducere la o ora de curs pentru compatibilitate cu programul licența silv. </t>
        </r>
      </text>
    </comment>
    <comment ref="L21" authorId="1">
      <text>
        <r>
          <rPr>
            <b/>
            <sz val="9"/>
            <rFont val="Segoe UI"/>
            <family val="0"/>
          </rPr>
          <t>Mihai Leonard Duduman:</t>
        </r>
        <r>
          <rPr>
            <sz val="9"/>
            <rFont val="Segoe UI"/>
            <family val="0"/>
          </rPr>
          <t xml:space="preserve">
reducere cu o ora
</t>
        </r>
      </text>
    </comment>
    <comment ref="B18" authorId="1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Adusă din anul II, opționale, ca preambul la Reconstr ecologică</t>
        </r>
      </text>
    </comment>
    <comment ref="B34" authorId="1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Introdusa in urma discutiilor cu angajatorii</t>
        </r>
      </text>
    </comment>
    <comment ref="B35" authorId="1">
      <text>
        <r>
          <rPr>
            <b/>
            <sz val="9"/>
            <rFont val="Segoe UI"/>
            <family val="0"/>
          </rPr>
          <t>Mihai Leonard Duduman:</t>
        </r>
        <r>
          <rPr>
            <sz val="9"/>
            <rFont val="Segoe UI"/>
            <family val="0"/>
          </rPr>
          <t xml:space="preserve">
Mutată din anul II sem 1
</t>
        </r>
      </text>
    </comment>
    <comment ref="A37" authorId="1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DS Geografia Mediului</t>
        </r>
      </text>
    </comment>
  </commentList>
</comments>
</file>

<file path=xl/comments5.xml><?xml version="1.0" encoding="utf-8"?>
<comments xmlns="http://schemas.openxmlformats.org/spreadsheetml/2006/main">
  <authors>
    <author>Mihai Leonard Duduman</author>
  </authors>
  <commentList>
    <comment ref="D41" authorId="0">
      <text>
        <r>
          <rPr>
            <b/>
            <sz val="9"/>
            <rFont val="Segoe UI"/>
            <family val="2"/>
          </rPr>
          <t>Mihai Leonard Duduman:</t>
        </r>
        <r>
          <rPr>
            <sz val="9"/>
            <rFont val="Segoe UI"/>
            <family val="2"/>
          </rPr>
          <t xml:space="preserve">
Standard ARACIS: Raportul dintre orele de curs și de activități didactice aplicative trebuie să fie de 1/1, cu o
abatere admisă de maxim +50% pentru activități aplicative. Nu se vor lua în calcul orele alocate practicii de specialitate și elaborării lucrării de licență.</t>
        </r>
      </text>
    </comment>
  </commentList>
</comments>
</file>

<file path=xl/sharedStrings.xml><?xml version="1.0" encoding="utf-8"?>
<sst xmlns="http://schemas.openxmlformats.org/spreadsheetml/2006/main" count="757" uniqueCount="360">
  <si>
    <t>Sem. I</t>
  </si>
  <si>
    <t>Sem. II</t>
  </si>
  <si>
    <t>I</t>
  </si>
  <si>
    <t>II</t>
  </si>
  <si>
    <t>III</t>
  </si>
  <si>
    <t>ANUL I</t>
  </si>
  <si>
    <t>Discipline obligatorii</t>
  </si>
  <si>
    <t>C</t>
  </si>
  <si>
    <t>S</t>
  </si>
  <si>
    <t>L</t>
  </si>
  <si>
    <t>P</t>
  </si>
  <si>
    <t>Nr. crt.</t>
  </si>
  <si>
    <t>Forma verificare</t>
  </si>
  <si>
    <t>Nr. credite</t>
  </si>
  <si>
    <t>DISCIPLINE FUNDAMENTALE</t>
  </si>
  <si>
    <t>DISCIPLINE COMPLEMENTARE</t>
  </si>
  <si>
    <t>DISCIPLINE DE SPECIALITATE</t>
  </si>
  <si>
    <t xml:space="preserve">PLAN  DE ÎNVĂŢĂMÂNT </t>
  </si>
  <si>
    <t>Universitatea ,,Ştefan cel Mare" Suceava</t>
  </si>
  <si>
    <t>Total ore obligatorii pe săptămână</t>
  </si>
  <si>
    <t>Total ore opţionale pe săptămână</t>
  </si>
  <si>
    <t>RECAPITULAŢIE</t>
  </si>
  <si>
    <t>PLAN DE ÎNVĂŢĂMÂNT</t>
  </si>
  <si>
    <t>Total</t>
  </si>
  <si>
    <t xml:space="preserve">DISCIPLINE OBLIGATORII </t>
  </si>
  <si>
    <t xml:space="preserve">% </t>
  </si>
  <si>
    <t>realizat</t>
  </si>
  <si>
    <t>DISCIPLINE FACULTATIVE</t>
  </si>
  <si>
    <t>I*</t>
  </si>
  <si>
    <t>CATEGORIA DISCIPLINEI</t>
  </si>
  <si>
    <t xml:space="preserve">DISCIPLINE OPŢIONALE </t>
  </si>
  <si>
    <t>NUMĂR ORE CURS / ORE APLICAŢII</t>
  </si>
  <si>
    <t>TOTAL Obligatorii şi opţionale</t>
  </si>
  <si>
    <t>TOTAL Ore program de studiu</t>
  </si>
  <si>
    <t>Curs</t>
  </si>
  <si>
    <t>Aplicaţii</t>
  </si>
  <si>
    <t>Total nr. ore
fizice</t>
  </si>
  <si>
    <t>Nr.</t>
  </si>
  <si>
    <t>crt.</t>
  </si>
  <si>
    <t>An I</t>
  </si>
  <si>
    <t>An II</t>
  </si>
  <si>
    <t>%</t>
  </si>
  <si>
    <t>Examen</t>
  </si>
  <si>
    <t>Colocviu</t>
  </si>
  <si>
    <t>TOTAL</t>
  </si>
  <si>
    <t>An III</t>
  </si>
  <si>
    <t>Anul de studii</t>
  </si>
  <si>
    <t>Nr. săptămâni</t>
  </si>
  <si>
    <t>Structura anului universitar</t>
  </si>
  <si>
    <t>ANUL II</t>
  </si>
  <si>
    <t>ANUL III</t>
  </si>
  <si>
    <t>Facultatea de Silvicultură</t>
  </si>
  <si>
    <t>Programul de studii universitare de licenţă:  Ecologie şi protecţia mediului</t>
  </si>
  <si>
    <t>Domeniul de licenţă:  Ştiinţa mediului</t>
  </si>
  <si>
    <t>Forma de învăţământ: cu frecvenţă</t>
  </si>
  <si>
    <t>Durata studiilor: 3 ani</t>
  </si>
  <si>
    <t>Cod disciplină USV-FS.EPM.</t>
  </si>
  <si>
    <t>Semestrul 1</t>
  </si>
  <si>
    <t>Semestrul 2</t>
  </si>
  <si>
    <t>Biologie vegetală</t>
  </si>
  <si>
    <t>E</t>
  </si>
  <si>
    <t>Biologie animală</t>
  </si>
  <si>
    <t>Matematică</t>
  </si>
  <si>
    <t>Informatică</t>
  </si>
  <si>
    <t>Geografia mediului</t>
  </si>
  <si>
    <t>Taxonomie vegetală</t>
  </si>
  <si>
    <t>Taxonomie animală</t>
  </si>
  <si>
    <t>Fizica mediului</t>
  </si>
  <si>
    <t>Chimia mediului</t>
  </si>
  <si>
    <t>4E+2C</t>
  </si>
  <si>
    <t>3E+2C</t>
  </si>
  <si>
    <t>Discipline opţionale</t>
  </si>
  <si>
    <t>Ştiinţa comunicării</t>
  </si>
  <si>
    <t>1C</t>
  </si>
  <si>
    <r>
      <t xml:space="preserve">Programul de studii universitare de licenţă:  </t>
    </r>
    <r>
      <rPr>
        <b/>
        <sz val="10"/>
        <rFont val="Arial"/>
        <family val="2"/>
      </rPr>
      <t>Ecologie şi protecţia mediului</t>
    </r>
  </si>
  <si>
    <r>
      <t xml:space="preserve">Domeniul de licenţă:  </t>
    </r>
    <r>
      <rPr>
        <b/>
        <sz val="10"/>
        <rFont val="Arial"/>
        <family val="2"/>
      </rPr>
      <t>Ştiinţa mediului</t>
    </r>
  </si>
  <si>
    <r>
      <t xml:space="preserve">Forma de învăţământ: </t>
    </r>
    <r>
      <rPr>
        <b/>
        <sz val="10"/>
        <rFont val="Arial"/>
        <family val="2"/>
      </rPr>
      <t>cu frecvenţă</t>
    </r>
  </si>
  <si>
    <r>
      <t xml:space="preserve">Durata studiilor: </t>
    </r>
    <r>
      <rPr>
        <b/>
        <sz val="10"/>
        <rFont val="Arial"/>
        <family val="2"/>
      </rPr>
      <t>3 ani</t>
    </r>
  </si>
  <si>
    <t>Semestrul 3</t>
  </si>
  <si>
    <t>Semestrul 4</t>
  </si>
  <si>
    <t>Ecologie generală</t>
  </si>
  <si>
    <t>Ecofiziologie vegetală şi animală</t>
  </si>
  <si>
    <t>Biostatistică</t>
  </si>
  <si>
    <t xml:space="preserve">Biochimie generală </t>
  </si>
  <si>
    <t>Genetică ecologică</t>
  </si>
  <si>
    <t>Geologia mediului</t>
  </si>
  <si>
    <t>Meteorologie - Climatologie</t>
  </si>
  <si>
    <t>Microbiologie</t>
  </si>
  <si>
    <t>Ecologia peisajului</t>
  </si>
  <si>
    <t>4E+3C</t>
  </si>
  <si>
    <t>Fitosociologie şi vegetaţia României</t>
  </si>
  <si>
    <t>Semestrul 5</t>
  </si>
  <si>
    <t>Semestrul 6</t>
  </si>
  <si>
    <t>Metodologia întocmirii studiilor de impact</t>
  </si>
  <si>
    <t>Economia mediului</t>
  </si>
  <si>
    <t xml:space="preserve">Modificări globale ale mediului </t>
  </si>
  <si>
    <t>Ecotoxicologie</t>
  </si>
  <si>
    <t>Monitoring ecologic</t>
  </si>
  <si>
    <t>Ecologie umană</t>
  </si>
  <si>
    <t>Modelarea proceselor ecologice</t>
  </si>
  <si>
    <t>Managementul conflictelor de mediu</t>
  </si>
  <si>
    <t>2C</t>
  </si>
  <si>
    <t>BILANŢ</t>
  </si>
  <si>
    <t>recomandat</t>
  </si>
  <si>
    <t>Număr de ore</t>
  </si>
  <si>
    <t>Forma de verificare</t>
  </si>
  <si>
    <t>Număr forme de verificare</t>
  </si>
  <si>
    <t>DS.02.08</t>
  </si>
  <si>
    <t>DS.02.09</t>
  </si>
  <si>
    <t>DF.02.11</t>
  </si>
  <si>
    <t>Ecologia populaţiilor</t>
  </si>
  <si>
    <t>DS.03.03</t>
  </si>
  <si>
    <t>DF.03.04</t>
  </si>
  <si>
    <t>DF.04.09</t>
  </si>
  <si>
    <t>DS.03.14</t>
  </si>
  <si>
    <t>DS.06.10</t>
  </si>
  <si>
    <t>22-28</t>
  </si>
  <si>
    <t>nr ore didactice pe sapt</t>
  </si>
  <si>
    <t>nr ore pe tot ciclul de licenta</t>
  </si>
  <si>
    <t>1848-2352</t>
  </si>
  <si>
    <t>nr credite obligatorii pe semestru</t>
  </si>
  <si>
    <t>nr credite obligatorii</t>
  </si>
  <si>
    <t>nr discipline pe sem (oblig+optionale)</t>
  </si>
  <si>
    <t>minim</t>
  </si>
  <si>
    <t>durata practicii (ore)</t>
  </si>
  <si>
    <t>max</t>
  </si>
  <si>
    <t>nr credite elaborare licenta</t>
  </si>
  <si>
    <t>nr credite sport (ca disc. obligatorie)</t>
  </si>
  <si>
    <t>raport ore curs/ore aplicative</t>
  </si>
  <si>
    <t>1/1 cu max 50% abatere</t>
  </si>
  <si>
    <t>in favoarea orelor aplicative</t>
  </si>
  <si>
    <t>echivalenta 1 credit ECTS in ore</t>
  </si>
  <si>
    <t>nu se iau in calcul orele de la practica sau elaborare licenta</t>
  </si>
  <si>
    <t>Discipline</t>
  </si>
  <si>
    <t>minim 10% discipline complementare obligatorii</t>
  </si>
  <si>
    <t>(printre care sport, limba straina)</t>
  </si>
  <si>
    <t>max  150 / 120 credite</t>
  </si>
  <si>
    <t>Foarte important: 30-60 credite la alegerea studentului</t>
  </si>
  <si>
    <t>Discipline fundamentale DF</t>
  </si>
  <si>
    <t>Discipline complementare DC</t>
  </si>
  <si>
    <t>10-20 %</t>
  </si>
  <si>
    <t>35-50 %</t>
  </si>
  <si>
    <t>35-45 %</t>
  </si>
  <si>
    <t>(justificat, chiar 30%)</t>
  </si>
  <si>
    <t>70-83 %</t>
  </si>
  <si>
    <t>activitati obligatorii (70-83 %)</t>
  </si>
  <si>
    <t>Discipline obligatorii DOB</t>
  </si>
  <si>
    <t>Discipline opționale (la alegere) DOP</t>
  </si>
  <si>
    <t>30-17 %</t>
  </si>
  <si>
    <t>Discipline facultative DFAC</t>
  </si>
  <si>
    <t>suplimentar</t>
  </si>
  <si>
    <t>(practica are nr. credite si fisa disciplinei)</t>
  </si>
  <si>
    <t>(include creditele pentru practica si pt elaborarea - nu sustinerea - examenului de licenta)</t>
  </si>
  <si>
    <t>Doar discipline de semestru</t>
  </si>
  <si>
    <t>Disciplinele pot sa se abata de la lista ARACIS</t>
  </si>
  <si>
    <t>Obs</t>
  </si>
  <si>
    <t>Majoritatea opționalelor sa fie DS</t>
  </si>
  <si>
    <t>Discipline de specialitate DS</t>
  </si>
  <si>
    <t>(5-6 pe semestru)</t>
  </si>
  <si>
    <t>(circa 30 discipline)</t>
  </si>
  <si>
    <t>(11-14 DF obligatorii)</t>
  </si>
  <si>
    <t>(11-15 DS obligatorii)</t>
  </si>
  <si>
    <t>(3-6 discipline DC obligatorii - la stiinta mediului chiar 9)</t>
  </si>
  <si>
    <t>max 20% - se prefera ca DOP discipline DS si DC</t>
  </si>
  <si>
    <t>DF cu minim 2 ore de curs</t>
  </si>
  <si>
    <t>Cel putin 50% examene ca forma de evaluare</t>
  </si>
  <si>
    <t>Practica de finalizare a studiilor - sem VI, max 7 credite</t>
  </si>
  <si>
    <t>10 credite pentru promovarea licentei (suplimentar fata de 180)</t>
  </si>
  <si>
    <t>Indeplinire criteriu</t>
  </si>
  <si>
    <t xml:space="preserve">Ştiinţa solului </t>
  </si>
  <si>
    <t xml:space="preserve">Controlul integrat al dăunătorilor </t>
  </si>
  <si>
    <t>DF</t>
  </si>
  <si>
    <t>DS</t>
  </si>
  <si>
    <t>DC</t>
  </si>
  <si>
    <t>DOB</t>
  </si>
  <si>
    <t>DOP</t>
  </si>
  <si>
    <t>an1</t>
  </si>
  <si>
    <t>an2</t>
  </si>
  <si>
    <t>an3</t>
  </si>
  <si>
    <t>total ore</t>
  </si>
  <si>
    <t>70-83</t>
  </si>
  <si>
    <t>17-30</t>
  </si>
  <si>
    <t>curs</t>
  </si>
  <si>
    <t>ap</t>
  </si>
  <si>
    <t>DF.03.01</t>
  </si>
  <si>
    <t>sunt 30 ore pe sapt - 150 ore total</t>
  </si>
  <si>
    <t>DF.01.03</t>
  </si>
  <si>
    <t>DF.03.02</t>
  </si>
  <si>
    <t>DS.03.05</t>
  </si>
  <si>
    <t>DF.04.08</t>
  </si>
  <si>
    <t xml:space="preserve"> ore curs</t>
  </si>
  <si>
    <t>ore aplicatii</t>
  </si>
  <si>
    <t>I* - ore de studiu individual pe semestru</t>
  </si>
  <si>
    <t>Practică de specialitate</t>
  </si>
  <si>
    <t xml:space="preserve">Elaborarea lucrării de licenţă  </t>
  </si>
  <si>
    <t>min. 30 credite pentru care a optat studentul</t>
  </si>
  <si>
    <t>min 30</t>
  </si>
  <si>
    <t>sunt exact 30</t>
  </si>
  <si>
    <t xml:space="preserve"> Nr.ore fizice 
pe săptămână</t>
  </si>
  <si>
    <t>14*</t>
  </si>
  <si>
    <t>Media</t>
  </si>
  <si>
    <t xml:space="preserve">10 credite se acordă suplimentar pentru susţinerea examenului de licență </t>
  </si>
  <si>
    <t>DF.01.02</t>
  </si>
  <si>
    <t>DC.01.04</t>
  </si>
  <si>
    <t>5E+3C</t>
  </si>
  <si>
    <t>nu se ia in calcul practica</t>
  </si>
  <si>
    <t>Dezvoltare durabilă</t>
  </si>
  <si>
    <t xml:space="preserve">Teledetecţie </t>
  </si>
  <si>
    <t>Indicatori - Calcul</t>
  </si>
  <si>
    <t>Dreptul mediului, legislații, politici și strategii</t>
  </si>
  <si>
    <t>Practica de specialitate</t>
  </si>
  <si>
    <t>3 credite pentru Educatie fizică se acordă peste cele obligatorii si nu se pot transfera pentru a atinge numarul de credite obligatorii</t>
  </si>
  <si>
    <t>raport optionale</t>
  </si>
  <si>
    <t>total practica</t>
  </si>
  <si>
    <t>Sisteme informatice geografice (SIG)</t>
  </si>
  <si>
    <t>nr. total ore an 1</t>
  </si>
  <si>
    <t>nr. total ore an 2</t>
  </si>
  <si>
    <t>nr. total ore an 3</t>
  </si>
  <si>
    <t>C**</t>
  </si>
  <si>
    <t>Educatie fizică</t>
  </si>
  <si>
    <t xml:space="preserve">Condiţiile de înscriere în anul de studii următor sunt: acumularea obligatorie a unui număr minim de 50 credite </t>
  </si>
  <si>
    <t>pentru anul în curs şi a tuturor creditelor anului anterior.</t>
  </si>
  <si>
    <t>Facultativ, poate fi urmat modulul de discipline pentru formarea psihopedagogică după un plan de învăţământ al</t>
  </si>
  <si>
    <t>departamentului de profil, fără a influenţa sistemul de credite al Facultăţii de Silvicultură.</t>
  </si>
  <si>
    <t>DS.05.02</t>
  </si>
  <si>
    <t>Antreprenoriat</t>
  </si>
  <si>
    <t>din care practică</t>
  </si>
  <si>
    <t xml:space="preserve">2 săptămâni (44 ore)    </t>
  </si>
  <si>
    <t>14**</t>
  </si>
  <si>
    <t>*12 săptămâni pentru cursuri şi 2 săptămâni pentru practica de specialitate</t>
  </si>
  <si>
    <t>DF.01.05</t>
  </si>
  <si>
    <t>Etică profesională și proprietate intelectuală</t>
  </si>
  <si>
    <t>DS.02.07</t>
  </si>
  <si>
    <t>Riscuri și hazarde naturale</t>
  </si>
  <si>
    <t>Gestionarea resurselor de apă</t>
  </si>
  <si>
    <t>Atmosfera și calitatea aerului</t>
  </si>
  <si>
    <t>Reconstrucţia ecologică a terenurilor degradate</t>
  </si>
  <si>
    <t>Gestionarea faunei de interes cinegetic</t>
  </si>
  <si>
    <t>Managementul biodiversității și ecodiversității</t>
  </si>
  <si>
    <t>DF.01.01</t>
  </si>
  <si>
    <t>5E+2C</t>
  </si>
  <si>
    <t>Geografia fizică</t>
  </si>
  <si>
    <t>Numărul de discipline (obligatorii+opționale) pe semestru</t>
  </si>
  <si>
    <t>min. 5</t>
  </si>
  <si>
    <r>
      <t xml:space="preserve">Valabil începând cu anul universitar: </t>
    </r>
    <r>
      <rPr>
        <b/>
        <sz val="10"/>
        <rFont val="Arial"/>
        <family val="2"/>
      </rPr>
      <t>2022-2023</t>
    </r>
  </si>
  <si>
    <r>
      <t xml:space="preserve">Valabil începând cu anul universitar: </t>
    </r>
    <r>
      <rPr>
        <sz val="9"/>
        <color indexed="10"/>
        <rFont val="Arial"/>
        <family val="2"/>
      </rPr>
      <t>2022-2023</t>
    </r>
  </si>
  <si>
    <t>Valabil începând cu anul universitar: 2022-2023</t>
  </si>
  <si>
    <t>DS.02.10</t>
  </si>
  <si>
    <t>DF.02.12</t>
  </si>
  <si>
    <t>DC.06.19</t>
  </si>
  <si>
    <t>DS.06.17</t>
  </si>
  <si>
    <t>DS.06.18</t>
  </si>
  <si>
    <t>Poluarea şi protecția mediului</t>
  </si>
  <si>
    <r>
      <t xml:space="preserve">Valabil începând cu anul universitar: </t>
    </r>
    <r>
      <rPr>
        <b/>
        <sz val="9"/>
        <rFont val="Arial"/>
        <family val="2"/>
      </rPr>
      <t>2022-2023</t>
    </r>
  </si>
  <si>
    <t xml:space="preserve">** notare cu Admis / Respins; Creditele alocate pentru Educație fizică se acordă peste cele obligatorii și nu se pot transfera pentru a atinge numărul de credite obligatorii. </t>
  </si>
  <si>
    <t>DS.06.06</t>
  </si>
  <si>
    <t>DS.06.09</t>
  </si>
  <si>
    <t>DC.05.13</t>
  </si>
  <si>
    <t>DC.05.14</t>
  </si>
  <si>
    <t>DC.06.15</t>
  </si>
  <si>
    <t>Bazele gestionarii pădurilor</t>
  </si>
  <si>
    <t>DC.01.15</t>
  </si>
  <si>
    <t>DC.01.16</t>
  </si>
  <si>
    <t>5E+5C</t>
  </si>
  <si>
    <t>Practică pentru lucrarea de licență</t>
  </si>
  <si>
    <t>2 săptămâni (44 ore)</t>
  </si>
  <si>
    <t>DC.02.06</t>
  </si>
  <si>
    <t xml:space="preserve">**10 săptămâni pentru cursuri, 2 săptămâni pentru practica necesară lucrării de licență şi 2 săptămâni pentru elaborarea lucrării de licenţă  </t>
  </si>
  <si>
    <t>DC.06.16</t>
  </si>
  <si>
    <t>A</t>
  </si>
  <si>
    <t>practica 22 ore pe saptamana</t>
  </si>
  <si>
    <t>credite la discipline obligatorii şi  37 credite la discipline opţionale.</t>
  </si>
  <si>
    <t>Programul asigură 180 credite de studiu transferabile conform sistemului european (E.C.T.S.), din care 143</t>
  </si>
  <si>
    <t>Discipline facultative</t>
  </si>
  <si>
    <t xml:space="preserve">Cod disciplină USV DPPD NIV 1 </t>
  </si>
  <si>
    <t>Sem. 1</t>
  </si>
  <si>
    <t>Sem. 2</t>
  </si>
  <si>
    <t>Psihologia educaţiei</t>
  </si>
  <si>
    <t>Pedagogie I</t>
  </si>
  <si>
    <t>Limba engelză I</t>
  </si>
  <si>
    <t>Limba franceză II</t>
  </si>
  <si>
    <t>Limba franceză I</t>
  </si>
  <si>
    <t>Limba engleză II</t>
  </si>
  <si>
    <t>DC.02.13</t>
  </si>
  <si>
    <t>DS.02.14</t>
  </si>
  <si>
    <t>DC.01.17</t>
  </si>
  <si>
    <t>DC.01.18</t>
  </si>
  <si>
    <t>DC.02.19</t>
  </si>
  <si>
    <t>DC.02.20</t>
  </si>
  <si>
    <t>Total ore facultative pe săptămână</t>
  </si>
  <si>
    <t>1E</t>
  </si>
  <si>
    <t>Sem. 3</t>
  </si>
  <si>
    <t>Sem. 4</t>
  </si>
  <si>
    <t>Pedagogie II</t>
  </si>
  <si>
    <t>Didactica specialităţii</t>
  </si>
  <si>
    <t>Limba engleză III</t>
  </si>
  <si>
    <t>Limba franceză III</t>
  </si>
  <si>
    <t>Limba engleză IV</t>
  </si>
  <si>
    <t>Limba franceză IV</t>
  </si>
  <si>
    <t>DS.04.06</t>
  </si>
  <si>
    <t>DF.04.07</t>
  </si>
  <si>
    <t>DC.04.10</t>
  </si>
  <si>
    <t>DC.02.11</t>
  </si>
  <si>
    <t>DS.04.12</t>
  </si>
  <si>
    <t>DS.03.13</t>
  </si>
  <si>
    <t>DC.03.15</t>
  </si>
  <si>
    <t>DC.03.16</t>
  </si>
  <si>
    <t>DC.04.17</t>
  </si>
  <si>
    <t>DC.04.18</t>
  </si>
  <si>
    <t>DS.04.19</t>
  </si>
  <si>
    <t>DS.04.20</t>
  </si>
  <si>
    <t>DF.04.21</t>
  </si>
  <si>
    <t>DF.04.22</t>
  </si>
  <si>
    <t>Aplicații ale spectroscopiei în ecologie</t>
  </si>
  <si>
    <t>4E+1C</t>
  </si>
  <si>
    <t>3C</t>
  </si>
  <si>
    <t>4E+6C</t>
  </si>
  <si>
    <t>1E+1C</t>
  </si>
  <si>
    <t>Instruire asistată de calculator</t>
  </si>
  <si>
    <t xml:space="preserve">Practică pedagogică (în învăţământul preuniversitar obligatoriu) (1) </t>
  </si>
  <si>
    <t>Managementul clasei de elevi</t>
  </si>
  <si>
    <t xml:space="preserve">Practică pedagogică (în învăţământul preuniversitar obligatoriu) (2) </t>
  </si>
  <si>
    <t>Evaluare finală - Portofoliu didactic</t>
  </si>
  <si>
    <t>2E+2C</t>
  </si>
  <si>
    <t>DPPD.NIV1.DF0101</t>
  </si>
  <si>
    <t>DPPD.NIV1.DF0202</t>
  </si>
  <si>
    <t>DPPD.NIV1.DF0303</t>
  </si>
  <si>
    <t>DPPD.NIV1.DF0404</t>
  </si>
  <si>
    <t>DC.04.23</t>
  </si>
  <si>
    <t>DPPD.NIV1.DS0505</t>
  </si>
  <si>
    <t>DPPD.NIV1.DS0506</t>
  </si>
  <si>
    <t>DPPD.NIV1.DS0607</t>
  </si>
  <si>
    <t>DPPD.NIV1.DS0608</t>
  </si>
  <si>
    <t>DPPD.NIV1.DS0609</t>
  </si>
  <si>
    <t>5E</t>
  </si>
  <si>
    <t>5E+4C</t>
  </si>
  <si>
    <t>DF.05.01</t>
  </si>
  <si>
    <t>DS.05.03</t>
  </si>
  <si>
    <t>DF.05.04</t>
  </si>
  <si>
    <t>DS.05.05</t>
  </si>
  <si>
    <t>DS.06.07</t>
  </si>
  <si>
    <t>DF.06.08</t>
  </si>
  <si>
    <t>DS.06.11</t>
  </si>
  <si>
    <t>DS.06.12</t>
  </si>
  <si>
    <t>Nr ore practică</t>
  </si>
  <si>
    <t xml:space="preserve">Cerinţe pentru obţinerea diplomei de licenţă: </t>
  </si>
  <si>
    <t xml:space="preserve">10 credite la examenul de absolvire </t>
  </si>
  <si>
    <t xml:space="preserve">180 credite conform planului de învăţământ </t>
  </si>
  <si>
    <t>C1. Identificarea şi utilizarea principalelor legităţi, noţiuni şi concepte specifice Ecologiei şi protecţiei mediului.</t>
  </si>
  <si>
    <t>C2. Utilizarea conexiunilor logice cu alte domenii ştiinţifice fundamentale conexe;</t>
  </si>
  <si>
    <t>C3. Utilizarea metodelor, instrumentelor, aparaturii şi tehnologiilor pentru activităţi de măsurare şi monitorizare;</t>
  </si>
  <si>
    <t>C4. Identificarea alternativelor optime în vederea caracterizării ecologice corespunzătoare a factorilor de mediu şi elaborarea măsurilor privind protejarea acestora;</t>
  </si>
  <si>
    <t>C5. Utilizarea aplicaţiilor specifice pentru prelucrarea, reprezentarea şi stocarea datelor de mediu;</t>
  </si>
  <si>
    <t>C6. Analiza şi comunicarea informaţiilor cu caracter ştiinţific.</t>
  </si>
  <si>
    <t>Competenţe profesionale</t>
  </si>
  <si>
    <t>Competenţe  transversale</t>
  </si>
  <si>
    <t>CT1. Aplicarea strategiilor de muncă eficientă şi responsabilă, de punctualitate, seriozitate şi răspundere personală, pe baza principiilor, normelor şi a valorilor codului de etică profesională;</t>
  </si>
  <si>
    <t>CT2. Aplicarea tehnicilor de muncă eficientă în echipa multidisciplinară pe diverse paliere ierarhice;</t>
  </si>
  <si>
    <t>CT3. Documentarea în limba româna şi cel puţin într-o limbă străină, pentru dezvoltarea profesională şi personală, prin formare continuă şi adaptarea eficientă la noile descoperiri ştiinţifice.</t>
  </si>
  <si>
    <t xml:space="preserve">Cod disciplină USV-FS.EPM </t>
  </si>
</sst>
</file>

<file path=xl/styles.xml><?xml version="1.0" encoding="utf-8"?>
<styleSheet xmlns="http://schemas.openxmlformats.org/spreadsheetml/2006/main">
  <numFmts count="5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0.00;[Red]0.00"/>
    <numFmt numFmtId="191" formatCode="0.000"/>
    <numFmt numFmtId="192" formatCode="0.0"/>
    <numFmt numFmtId="193" formatCode="0.0;[Red]0.0"/>
    <numFmt numFmtId="194" formatCode="0;[Red]0"/>
    <numFmt numFmtId="195" formatCode="0.0000"/>
    <numFmt numFmtId="196" formatCode="0.000000"/>
    <numFmt numFmtId="197" formatCode="0.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0000000"/>
    <numFmt numFmtId="206" formatCode="0.00000000"/>
    <numFmt numFmtId="207" formatCode="0.0000000"/>
    <numFmt numFmtId="208" formatCode="0.0%"/>
    <numFmt numFmtId="209" formatCode="0.000%"/>
    <numFmt numFmtId="210" formatCode="0.0000%"/>
  </numFmts>
  <fonts count="8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b/>
      <sz val="8.5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Arial"/>
      <family val="2"/>
    </font>
    <font>
      <sz val="10"/>
      <color indexed="8"/>
      <name val="Arial Unicode MS"/>
      <family val="2"/>
    </font>
    <font>
      <i/>
      <sz val="9"/>
      <color indexed="8"/>
      <name val="Arial Unicode MS"/>
      <family val="2"/>
    </font>
    <font>
      <i/>
      <sz val="8.5"/>
      <name val="Arial"/>
      <family val="2"/>
    </font>
    <font>
      <sz val="7.5"/>
      <name val="Arial"/>
      <family val="2"/>
    </font>
    <font>
      <i/>
      <sz val="9"/>
      <name val="Arial CE"/>
      <family val="2"/>
    </font>
    <font>
      <sz val="9"/>
      <name val="Segoe UI"/>
      <family val="0"/>
    </font>
    <font>
      <b/>
      <sz val="9"/>
      <name val="Segoe UI"/>
      <family val="0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.5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b/>
      <sz val="8.5"/>
      <color indexed="8"/>
      <name val="Arial"/>
      <family val="0"/>
    </font>
    <font>
      <b/>
      <sz val="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.5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0" borderId="2" applyNumberFormat="0" applyFill="0" applyAlignment="0" applyProtection="0"/>
    <xf numFmtId="0" fontId="6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27" borderId="3" applyNumberFormat="0" applyAlignment="0" applyProtection="0"/>
    <xf numFmtId="0" fontId="6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36" xfId="0" applyFont="1" applyFill="1" applyBorder="1" applyAlignment="1">
      <alignment vertical="center"/>
    </xf>
    <xf numFmtId="0" fontId="16" fillId="0" borderId="3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37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justify" vertical="center" wrapText="1"/>
    </xf>
    <xf numFmtId="2" fontId="15" fillId="0" borderId="39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right" vertical="center" wrapText="1" indent="1"/>
    </xf>
    <xf numFmtId="0" fontId="20" fillId="0" borderId="45" xfId="0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46" xfId="0" applyNumberFormat="1" applyFont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justify" vertical="center" wrapText="1"/>
    </xf>
    <xf numFmtId="0" fontId="15" fillId="0" borderId="47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 wrapText="1" indent="1"/>
    </xf>
    <xf numFmtId="0" fontId="20" fillId="0" borderId="49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15" fillId="0" borderId="50" xfId="0" applyFont="1" applyBorder="1" applyAlignment="1">
      <alignment horizontal="justify" vertical="center" wrapText="1"/>
    </xf>
    <xf numFmtId="0" fontId="15" fillId="0" borderId="50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51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5" xfId="0" applyFont="1" applyBorder="1" applyAlignment="1">
      <alignment horizontal="left" vertical="center" wrapText="1"/>
    </xf>
    <xf numFmtId="0" fontId="15" fillId="0" borderId="49" xfId="0" applyFont="1" applyBorder="1" applyAlignment="1">
      <alignment vertical="center"/>
    </xf>
    <xf numFmtId="0" fontId="20" fillId="0" borderId="49" xfId="0" applyFont="1" applyBorder="1" applyAlignment="1">
      <alignment horizontal="right" vertical="center" wrapText="1" indent="1"/>
    </xf>
    <xf numFmtId="2" fontId="20" fillId="0" borderId="52" xfId="0" applyNumberFormat="1" applyFont="1" applyBorder="1" applyAlignment="1">
      <alignment horizontal="center" vertical="center" wrapText="1"/>
    </xf>
    <xf numFmtId="2" fontId="20" fillId="0" borderId="53" xfId="0" applyNumberFormat="1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2" fontId="20" fillId="0" borderId="4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6" fillId="0" borderId="4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/>
    </xf>
    <xf numFmtId="0" fontId="16" fillId="0" borderId="56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15" fillId="0" borderId="0" xfId="0" applyFont="1" applyAlignment="1">
      <alignment/>
    </xf>
    <xf numFmtId="0" fontId="77" fillId="0" borderId="58" xfId="0" applyFont="1" applyFill="1" applyBorder="1" applyAlignment="1">
      <alignment horizontal="center"/>
    </xf>
    <xf numFmtId="0" fontId="77" fillId="0" borderId="59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9" fillId="0" borderId="0" xfId="0" applyFont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6" fillId="0" borderId="63" xfId="0" applyFont="1" applyFill="1" applyBorder="1" applyAlignment="1">
      <alignment horizontal="center"/>
    </xf>
    <xf numFmtId="0" fontId="16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/>
    </xf>
    <xf numFmtId="0" fontId="16" fillId="0" borderId="35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/>
    </xf>
    <xf numFmtId="0" fontId="16" fillId="0" borderId="19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15" fillId="0" borderId="6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9" fontId="80" fillId="0" borderId="21" xfId="52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 indent="6"/>
    </xf>
    <xf numFmtId="2" fontId="20" fillId="0" borderId="59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left" vertical="center" indent="6"/>
    </xf>
    <xf numFmtId="2" fontId="20" fillId="0" borderId="23" xfId="0" applyNumberFormat="1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 indent="1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2" fontId="20" fillId="0" borderId="70" xfId="0" applyNumberFormat="1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60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77" fillId="0" borderId="38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24" fillId="0" borderId="0" xfId="50" applyFont="1" applyAlignment="1">
      <alignment horizontal="left"/>
      <protection/>
    </xf>
    <xf numFmtId="0" fontId="0" fillId="0" borderId="52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50" applyFont="1" applyAlignment="1">
      <alignment/>
      <protection/>
    </xf>
    <xf numFmtId="0" fontId="19" fillId="0" borderId="0" xfId="50" applyFont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26" fillId="0" borderId="0" xfId="0" applyFont="1" applyFill="1" applyAlignment="1">
      <alignment vertical="top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9" fontId="0" fillId="0" borderId="0" xfId="52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9" fontId="80" fillId="0" borderId="0" xfId="52" applyNumberFormat="1" applyFont="1" applyFill="1" applyBorder="1" applyAlignment="1">
      <alignment horizontal="center" vertical="center" wrapText="1"/>
    </xf>
    <xf numFmtId="9" fontId="80" fillId="0" borderId="0" xfId="52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91" fontId="0" fillId="0" borderId="0" xfId="0" applyNumberFormat="1" applyAlignment="1">
      <alignment horizontal="center"/>
    </xf>
    <xf numFmtId="0" fontId="19" fillId="0" borderId="0" xfId="50" applyFont="1" applyAlignment="1">
      <alignment horizontal="left"/>
      <protection/>
    </xf>
    <xf numFmtId="0" fontId="15" fillId="0" borderId="1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71" xfId="0" applyFont="1" applyBorder="1" applyAlignment="1">
      <alignment horizontal="left" vertical="center" wrapText="1"/>
    </xf>
    <xf numFmtId="9" fontId="80" fillId="0" borderId="17" xfId="52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9" fontId="80" fillId="0" borderId="21" xfId="52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20" fillId="0" borderId="4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vertical="center" wrapText="1"/>
    </xf>
    <xf numFmtId="195" fontId="0" fillId="0" borderId="0" xfId="0" applyNumberFormat="1" applyFill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15" fillId="0" borderId="17" xfId="52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6" fillId="0" borderId="6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top"/>
    </xf>
    <xf numFmtId="0" fontId="16" fillId="0" borderId="43" xfId="0" applyFont="1" applyFill="1" applyBorder="1" applyAlignment="1">
      <alignment horizontal="center" vertical="top"/>
    </xf>
    <xf numFmtId="0" fontId="16" fillId="0" borderId="55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top"/>
    </xf>
    <xf numFmtId="0" fontId="16" fillId="0" borderId="74" xfId="0" applyFont="1" applyFill="1" applyBorder="1" applyAlignment="1">
      <alignment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vertical="center" wrapText="1"/>
    </xf>
    <xf numFmtId="0" fontId="16" fillId="0" borderId="6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6" fillId="0" borderId="17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6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16" fillId="0" borderId="26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32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76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top"/>
    </xf>
    <xf numFmtId="0" fontId="16" fillId="0" borderId="66" xfId="0" applyFont="1" applyFill="1" applyBorder="1" applyAlignment="1">
      <alignment horizontal="left" vertical="center" wrapText="1"/>
    </xf>
    <xf numFmtId="0" fontId="16" fillId="0" borderId="73" xfId="0" applyFont="1" applyFill="1" applyBorder="1" applyAlignment="1">
      <alignment horizontal="left" vertical="center" wrapText="1"/>
    </xf>
    <xf numFmtId="0" fontId="16" fillId="0" borderId="74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16" fillId="0" borderId="55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16" fillId="0" borderId="30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73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6" fillId="0" borderId="41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8" fillId="0" borderId="23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/>
    </xf>
    <xf numFmtId="0" fontId="27" fillId="0" borderId="77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8" fillId="0" borderId="7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35" borderId="24" xfId="0" applyNumberFormat="1" applyFont="1" applyFill="1" applyBorder="1" applyAlignment="1" applyProtection="1">
      <alignment horizontal="center" vertical="center" shrinkToFit="1"/>
      <protection/>
    </xf>
    <xf numFmtId="0" fontId="16" fillId="35" borderId="13" xfId="0" applyNumberFormat="1" applyFont="1" applyFill="1" applyBorder="1" applyAlignment="1" applyProtection="1">
      <alignment horizontal="center" vertical="center" shrinkToFit="1"/>
      <protection/>
    </xf>
    <xf numFmtId="0" fontId="16" fillId="35" borderId="19" xfId="0" applyNumberFormat="1" applyFont="1" applyFill="1" applyBorder="1" applyAlignment="1" applyProtection="1">
      <alignment horizontal="center" vertical="center" shrinkToFit="1"/>
      <protection/>
    </xf>
    <xf numFmtId="0" fontId="16" fillId="35" borderId="66" xfId="0" applyNumberFormat="1" applyFont="1" applyFill="1" applyBorder="1" applyAlignment="1" applyProtection="1">
      <alignment horizontal="center" vertical="center" shrinkToFit="1"/>
      <protection/>
    </xf>
    <xf numFmtId="0" fontId="16" fillId="0" borderId="19" xfId="0" applyNumberFormat="1" applyFont="1" applyFill="1" applyBorder="1" applyAlignment="1" applyProtection="1">
      <alignment horizontal="center" vertical="center" shrinkToFit="1"/>
      <protection/>
    </xf>
    <xf numFmtId="0" fontId="16" fillId="0" borderId="66" xfId="0" applyNumberFormat="1" applyFont="1" applyFill="1" applyBorder="1" applyAlignment="1" applyProtection="1">
      <alignment horizontal="center" vertical="center" shrinkToFit="1"/>
      <protection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 applyProtection="1">
      <alignment horizontal="center" vertical="center" shrinkToFit="1"/>
      <protection/>
    </xf>
    <xf numFmtId="0" fontId="16" fillId="0" borderId="11" xfId="0" applyNumberFormat="1" applyFont="1" applyFill="1" applyBorder="1" applyAlignment="1" applyProtection="1">
      <alignment horizontal="center" vertical="center" shrinkToFit="1"/>
      <protection/>
    </xf>
    <xf numFmtId="0" fontId="16" fillId="0" borderId="78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vertical="center"/>
    </xf>
    <xf numFmtId="0" fontId="27" fillId="0" borderId="65" xfId="0" applyFont="1" applyFill="1" applyBorder="1" applyAlignment="1">
      <alignment vertical="center"/>
    </xf>
    <xf numFmtId="0" fontId="27" fillId="0" borderId="56" xfId="0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3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55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/>
    </xf>
    <xf numFmtId="0" fontId="27" fillId="0" borderId="81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2" fontId="0" fillId="0" borderId="82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19" fillId="0" borderId="0" xfId="50" applyFont="1" applyAlignment="1">
      <alignment horizontal="left"/>
      <protection/>
    </xf>
    <xf numFmtId="0" fontId="25" fillId="0" borderId="0" xfId="50" applyFont="1" applyFill="1" applyAlignment="1">
      <alignment horizontal="left"/>
      <protection/>
    </xf>
    <xf numFmtId="0" fontId="25" fillId="0" borderId="0" xfId="50" applyFont="1" applyFill="1" applyAlignment="1">
      <alignment horizontal="left" vertical="top" wrapText="1"/>
      <protection/>
    </xf>
    <xf numFmtId="0" fontId="15" fillId="0" borderId="6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2" fontId="15" fillId="0" borderId="57" xfId="0" applyNumberFormat="1" applyFont="1" applyBorder="1" applyAlignment="1">
      <alignment horizontal="center" vertical="center" wrapText="1"/>
    </xf>
    <xf numFmtId="2" fontId="15" fillId="0" borderId="27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2" fontId="15" fillId="0" borderId="41" xfId="52" applyNumberFormat="1" applyFont="1" applyBorder="1" applyAlignment="1">
      <alignment horizontal="center" vertical="center" wrapText="1"/>
    </xf>
    <xf numFmtId="2" fontId="15" fillId="0" borderId="34" xfId="52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8" fillId="0" borderId="0" xfId="50" applyFont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23" fillId="0" borderId="0" xfId="0" applyFont="1" applyFill="1" applyAlignment="1">
      <alignment wrapText="1"/>
    </xf>
    <xf numFmtId="0" fontId="9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16" fillId="0" borderId="41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left" vertical="center" wrapText="1"/>
      <protection locked="0"/>
    </xf>
    <xf numFmtId="0" fontId="16" fillId="0" borderId="64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 locked="0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0" fontId="16" fillId="0" borderId="59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77" xfId="0" applyFont="1" applyFill="1" applyBorder="1" applyAlignment="1" applyProtection="1">
      <alignment horizontal="left" vertical="center" wrapText="1"/>
      <protection locked="0"/>
    </xf>
    <xf numFmtId="0" fontId="16" fillId="0" borderId="84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66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>
      <alignment horizontal="center" vertical="center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77" fillId="0" borderId="73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center" vertical="center"/>
    </xf>
    <xf numFmtId="0" fontId="77" fillId="0" borderId="63" xfId="0" applyFont="1" applyFill="1" applyBorder="1" applyAlignment="1">
      <alignment horizontal="center" vertical="center" wrapText="1"/>
    </xf>
    <xf numFmtId="1" fontId="16" fillId="0" borderId="73" xfId="0" applyNumberFormat="1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36" xfId="0" applyFont="1" applyFill="1" applyBorder="1" applyAlignment="1">
      <alignment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49" fontId="16" fillId="0" borderId="37" xfId="0" applyNumberFormat="1" applyFont="1" applyBorder="1" applyAlignment="1">
      <alignment vertical="top" wrapText="1"/>
    </xf>
    <xf numFmtId="0" fontId="16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/>
    </xf>
    <xf numFmtId="49" fontId="16" fillId="0" borderId="84" xfId="0" applyNumberFormat="1" applyFont="1" applyBorder="1" applyAlignment="1">
      <alignment vertical="top" wrapText="1"/>
    </xf>
    <xf numFmtId="0" fontId="16" fillId="0" borderId="11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 applyProtection="1">
      <alignment horizontal="center" vertical="center"/>
      <protection locked="0"/>
    </xf>
    <xf numFmtId="0" fontId="16" fillId="0" borderId="50" xfId="0" applyFont="1" applyFill="1" applyBorder="1" applyAlignment="1" applyProtection="1">
      <alignment horizontal="center" vertical="center"/>
      <protection locked="0"/>
    </xf>
    <xf numFmtId="0" fontId="16" fillId="0" borderId="38" xfId="0" applyFont="1" applyFill="1" applyBorder="1" applyAlignment="1" applyProtection="1">
      <alignment horizontal="center" vertical="center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0" borderId="86" xfId="0" applyFont="1" applyFill="1" applyBorder="1" applyAlignment="1" applyProtection="1">
      <alignment horizontal="center" vertical="center"/>
      <protection hidden="1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8" fillId="0" borderId="59" xfId="0" applyFont="1" applyFill="1" applyBorder="1" applyAlignment="1" applyProtection="1">
      <alignment horizontal="center" vertical="center"/>
      <protection hidden="1"/>
    </xf>
    <xf numFmtId="0" fontId="16" fillId="0" borderId="78" xfId="0" applyFont="1" applyFill="1" applyBorder="1" applyAlignment="1" applyProtection="1">
      <alignment horizontal="center" vertical="center"/>
      <protection locked="0"/>
    </xf>
    <xf numFmtId="0" fontId="16" fillId="0" borderId="6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77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6" fillId="0" borderId="56" xfId="0" applyFont="1" applyFill="1" applyBorder="1" applyAlignment="1" applyProtection="1">
      <alignment horizontal="center" vertical="center"/>
      <protection hidden="1"/>
    </xf>
    <xf numFmtId="0" fontId="16" fillId="0" borderId="66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80" xfId="0" applyFont="1" applyFill="1" applyBorder="1" applyAlignment="1" applyProtection="1">
      <alignment horizontal="center" vertical="center"/>
      <protection locked="0"/>
    </xf>
    <xf numFmtId="0" fontId="16" fillId="0" borderId="50" xfId="0" applyFont="1" applyFill="1" applyBorder="1" applyAlignment="1" applyProtection="1">
      <alignment horizontal="center" vertical="center"/>
      <protection locked="0"/>
    </xf>
    <xf numFmtId="0" fontId="16" fillId="0" borderId="38" xfId="0" applyFont="1" applyFill="1" applyBorder="1" applyAlignment="1" applyProtection="1">
      <alignment horizontal="center" vertical="center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8" fillId="0" borderId="59" xfId="0" applyFont="1" applyFill="1" applyBorder="1" applyAlignment="1" applyProtection="1">
      <alignment horizontal="center" vertical="center"/>
      <protection hidden="1"/>
    </xf>
    <xf numFmtId="0" fontId="16" fillId="0" borderId="78" xfId="0" applyFont="1" applyFill="1" applyBorder="1" applyAlignment="1" applyProtection="1">
      <alignment horizontal="center" vertical="center"/>
      <protection locked="0"/>
    </xf>
    <xf numFmtId="0" fontId="16" fillId="0" borderId="65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8" fillId="0" borderId="66" xfId="0" applyFont="1" applyFill="1" applyBorder="1" applyAlignment="1" applyProtection="1">
      <alignment horizontal="center" vertical="center"/>
      <protection hidden="1"/>
    </xf>
    <xf numFmtId="0" fontId="16" fillId="0" borderId="66" xfId="0" applyFont="1" applyFill="1" applyBorder="1" applyAlignment="1" applyProtection="1">
      <alignment horizontal="center" vertical="center"/>
      <protection hidden="1"/>
    </xf>
    <xf numFmtId="0" fontId="16" fillId="0" borderId="66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6" fillId="0" borderId="62" xfId="0" applyFont="1" applyFill="1" applyBorder="1" applyAlignment="1">
      <alignment horizontal="center" vertical="center" wrapText="1"/>
    </xf>
    <xf numFmtId="49" fontId="16" fillId="0" borderId="39" xfId="0" applyNumberFormat="1" applyFont="1" applyBorder="1" applyAlignment="1">
      <alignment vertical="center" wrapText="1"/>
    </xf>
    <xf numFmtId="0" fontId="16" fillId="0" borderId="47" xfId="0" applyFont="1" applyBorder="1" applyAlignment="1">
      <alignment horizontal="center" vertical="center"/>
    </xf>
    <xf numFmtId="49" fontId="16" fillId="0" borderId="44" xfId="0" applyNumberFormat="1" applyFont="1" applyBorder="1" applyAlignment="1">
      <alignment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35" borderId="34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 vertical="center" wrapText="1"/>
    </xf>
    <xf numFmtId="49" fontId="16" fillId="0" borderId="64" xfId="0" applyNumberFormat="1" applyFont="1" applyBorder="1" applyAlignment="1">
      <alignment vertical="top" wrapText="1"/>
    </xf>
    <xf numFmtId="0" fontId="16" fillId="0" borderId="5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49" fontId="16" fillId="0" borderId="45" xfId="0" applyNumberFormat="1" applyFont="1" applyBorder="1" applyAlignment="1">
      <alignment vertical="top" wrapText="1"/>
    </xf>
    <xf numFmtId="0" fontId="16" fillId="0" borderId="2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7" xfId="0" applyFont="1" applyFill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49" fontId="54" fillId="0" borderId="19" xfId="0" applyNumberFormat="1" applyFont="1" applyBorder="1" applyAlignment="1">
      <alignment horizontal="center" vertical="center"/>
    </xf>
    <xf numFmtId="49" fontId="53" fillId="0" borderId="79" xfId="0" applyNumberFormat="1" applyFont="1" applyBorder="1" applyAlignment="1">
      <alignment horizontal="center" vertical="center"/>
    </xf>
    <xf numFmtId="49" fontId="53" fillId="0" borderId="39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/>
    </xf>
    <xf numFmtId="0" fontId="0" fillId="0" borderId="50" xfId="50" applyBorder="1" applyAlignment="1" applyProtection="1">
      <alignment horizontal="center" vertical="center"/>
      <protection locked="0"/>
    </xf>
    <xf numFmtId="0" fontId="0" fillId="0" borderId="42" xfId="50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7" xfId="50" applyBorder="1" applyAlignment="1" applyProtection="1">
      <alignment horizontal="center" vertical="center"/>
      <protection locked="0"/>
    </xf>
    <xf numFmtId="0" fontId="0" fillId="0" borderId="11" xfId="5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8" xfId="50" applyBorder="1" applyAlignment="1" applyProtection="1">
      <alignment horizontal="center" vertical="center"/>
      <protection locked="0"/>
    </xf>
    <xf numFmtId="0" fontId="0" fillId="0" borderId="59" xfId="50" applyBorder="1" applyAlignment="1" applyProtection="1">
      <alignment horizontal="center" vertical="center"/>
      <protection locked="0"/>
    </xf>
    <xf numFmtId="0" fontId="0" fillId="0" borderId="18" xfId="50" applyBorder="1" applyAlignment="1" applyProtection="1">
      <alignment horizontal="center" vertical="center"/>
      <protection locked="0"/>
    </xf>
    <xf numFmtId="0" fontId="0" fillId="0" borderId="12" xfId="50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" fillId="0" borderId="49" xfId="0" applyFont="1" applyBorder="1" applyAlignment="1">
      <alignment vertical="center" wrapText="1"/>
    </xf>
    <xf numFmtId="0" fontId="0" fillId="0" borderId="50" xfId="0" applyBorder="1" applyAlignment="1">
      <alignment/>
    </xf>
    <xf numFmtId="0" fontId="0" fillId="0" borderId="65" xfId="0" applyBorder="1" applyAlignment="1">
      <alignment/>
    </xf>
    <xf numFmtId="0" fontId="0" fillId="0" borderId="51" xfId="0" applyFont="1" applyBorder="1" applyAlignment="1">
      <alignment horizontal="left" vertical="top" wrapText="1"/>
    </xf>
    <xf numFmtId="0" fontId="0" fillId="0" borderId="51" xfId="0" applyFont="1" applyBorder="1" applyAlignment="1">
      <alignment vertical="top" wrapText="1"/>
    </xf>
    <xf numFmtId="0" fontId="0" fillId="0" borderId="47" xfId="0" applyFont="1" applyBorder="1" applyAlignment="1">
      <alignment horizontal="left" vertical="top" wrapText="1"/>
    </xf>
    <xf numFmtId="0" fontId="55" fillId="0" borderId="64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top" wrapText="1"/>
    </xf>
    <xf numFmtId="0" fontId="0" fillId="0" borderId="80" xfId="0" applyFont="1" applyBorder="1" applyAlignment="1">
      <alignment horizontal="left" vertical="top" wrapText="1"/>
    </xf>
    <xf numFmtId="0" fontId="0" fillId="0" borderId="78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55" fillId="0" borderId="37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19050</xdr:rowOff>
    </xdr:from>
    <xdr:to>
      <xdr:col>16</xdr:col>
      <xdr:colOff>381000</xdr:colOff>
      <xdr:row>58</xdr:row>
      <xdr:rowOff>161925</xdr:rowOff>
    </xdr:to>
    <xdr:sp>
      <xdr:nvSpPr>
        <xdr:cNvPr id="1" name="CasetăText 2"/>
        <xdr:cNvSpPr txBox="1">
          <a:spLocks noChangeArrowheads="1"/>
        </xdr:cNvSpPr>
      </xdr:nvSpPr>
      <xdr:spPr>
        <a:xfrm>
          <a:off x="9525" y="9648825"/>
          <a:ext cx="67151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Rector,                                                Decan,                                            Director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departament,               Responsabil program de studii, 
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univ. dr. ing. Valentin Popa        ș.l. dr.ing. Ciprian Palaghianu         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ș.l. dr.ing.  Ioan Ciornei                conf. dr. ing. Mihai-Leonard Duduman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323850</xdr:rowOff>
    </xdr:from>
    <xdr:to>
      <xdr:col>17</xdr:col>
      <xdr:colOff>9525</xdr:colOff>
      <xdr:row>59</xdr:row>
      <xdr:rowOff>142875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19050" y="9953625"/>
          <a:ext cx="6677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Rector,                                                Decan,                                            Director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departament,               Responsabil program de studii, 
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univ. dr. ing. Valentin Popa        ș.l. dr.ing. Ciprian Palaghianu         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ș.l. dr.ing.  Ioan Ciornei                conf. dr. ing. Mihai-Leonard Duduman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9525</xdr:rowOff>
    </xdr:from>
    <xdr:to>
      <xdr:col>16</xdr:col>
      <xdr:colOff>428625</xdr:colOff>
      <xdr:row>58</xdr:row>
      <xdr:rowOff>161925</xdr:rowOff>
    </xdr:to>
    <xdr:sp>
      <xdr:nvSpPr>
        <xdr:cNvPr id="1" name="CasetăText 3"/>
        <xdr:cNvSpPr txBox="1">
          <a:spLocks noChangeArrowheads="1"/>
        </xdr:cNvSpPr>
      </xdr:nvSpPr>
      <xdr:spPr>
        <a:xfrm>
          <a:off x="38100" y="10153650"/>
          <a:ext cx="67246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Rector,                                                Decan,                                            Director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departament,               Responsabil program de studii, 
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univ. dr. ing. Valentin Popa        ș.l. dr.ing. Ciprian Palaghianu         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ș.l. dr.ing.  Ioan Ciornei                conf. dr. ing. Mihai-Leonard Duduman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58</xdr:row>
      <xdr:rowOff>0</xdr:rowOff>
    </xdr:from>
    <xdr:to>
      <xdr:col>9</xdr:col>
      <xdr:colOff>657225</xdr:colOff>
      <xdr:row>60</xdr:row>
      <xdr:rowOff>142875</xdr:rowOff>
    </xdr:to>
    <xdr:sp>
      <xdr:nvSpPr>
        <xdr:cNvPr id="1" name="CasetăText 2"/>
        <xdr:cNvSpPr txBox="1">
          <a:spLocks noChangeArrowheads="1"/>
        </xdr:cNvSpPr>
      </xdr:nvSpPr>
      <xdr:spPr>
        <a:xfrm>
          <a:off x="114300" y="10963275"/>
          <a:ext cx="67627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Rector,                                                Decan,                                            Director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departament,               Responsabil program de studii, 
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univ. dr. ing. Valentin Popa        ș.l. dr.ing. Ciprian Palaghianu         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ș.l. dr.ing.  Ioan Ciornei                conf. dr. ing. Mihai-Leonard Duduman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152400</xdr:rowOff>
    </xdr:from>
    <xdr:to>
      <xdr:col>5</xdr:col>
      <xdr:colOff>47625</xdr:colOff>
      <xdr:row>34</xdr:row>
      <xdr:rowOff>95250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47625" y="7038975"/>
          <a:ext cx="67627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Rector,                                                Decan,                                            Director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departament,               Responsabil program de studii, 
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univ. dr. ing. Valentin Popa        ș.l. dr.ing. Ciprian Palaghianu         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ș.l. dr.ing.  Ioan Ciornei                conf. dr. ing. Mihai-Leonard Duduman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0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33.28125" style="0" bestFit="1" customWidth="1"/>
    <col min="40" max="40" width="0.2890625" style="0" hidden="1" customWidth="1"/>
    <col min="41" max="46" width="9.140625" style="0" hidden="1" customWidth="1"/>
  </cols>
  <sheetData>
    <row r="3" ht="12.75">
      <c r="A3" s="149" t="s">
        <v>18</v>
      </c>
    </row>
    <row r="4" ht="12.75">
      <c r="A4" s="149" t="s">
        <v>51</v>
      </c>
    </row>
    <row r="5" ht="12.75">
      <c r="A5" s="19"/>
    </row>
    <row r="6" spans="1:5" ht="12.75">
      <c r="A6" s="361" t="s">
        <v>75</v>
      </c>
      <c r="B6" s="361"/>
      <c r="C6" s="361"/>
      <c r="D6" s="361"/>
      <c r="E6" s="361"/>
    </row>
    <row r="7" spans="1:11" ht="12.75">
      <c r="A7" s="361" t="s">
        <v>74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5" ht="12.75">
      <c r="A8" s="360" t="s">
        <v>76</v>
      </c>
      <c r="B8" s="360"/>
      <c r="C8" s="360"/>
      <c r="D8" s="360"/>
      <c r="E8" s="360"/>
    </row>
    <row r="9" spans="1:5" ht="12.75">
      <c r="A9" s="360" t="s">
        <v>77</v>
      </c>
      <c r="B9" s="360"/>
      <c r="C9" s="360"/>
      <c r="D9" s="360"/>
      <c r="E9" s="360"/>
    </row>
    <row r="10" spans="1:5" ht="12.75">
      <c r="A10" s="361" t="s">
        <v>244</v>
      </c>
      <c r="B10" s="361"/>
      <c r="C10" s="361"/>
      <c r="D10" s="361"/>
      <c r="E10" s="361"/>
    </row>
    <row r="11" ht="12.75">
      <c r="A11" s="19"/>
    </row>
    <row r="12" ht="12.75">
      <c r="A12" s="19"/>
    </row>
    <row r="13" ht="12.75">
      <c r="A13" s="19"/>
    </row>
    <row r="14" ht="12.75">
      <c r="A14" s="19"/>
    </row>
    <row r="15" ht="12.75">
      <c r="A15" s="19"/>
    </row>
    <row r="16" spans="1:8" ht="18" customHeight="1">
      <c r="A16" s="362" t="s">
        <v>22</v>
      </c>
      <c r="B16" s="362"/>
      <c r="C16" s="362"/>
      <c r="D16" s="362"/>
      <c r="E16" s="362"/>
      <c r="F16" s="362"/>
      <c r="G16" s="362"/>
      <c r="H16" s="362"/>
    </row>
    <row r="17" ht="14.25" customHeight="1">
      <c r="A17" s="20"/>
    </row>
    <row r="18" ht="14.25" customHeight="1">
      <c r="A18" s="20"/>
    </row>
    <row r="19" ht="14.25" customHeight="1">
      <c r="A19" s="20"/>
    </row>
    <row r="20" ht="14.25" customHeight="1">
      <c r="A20" s="20"/>
    </row>
    <row r="21" ht="14.25" customHeight="1">
      <c r="A21" s="678" t="s">
        <v>345</v>
      </c>
    </row>
    <row r="22" ht="14.25" customHeight="1">
      <c r="A22" s="678" t="s">
        <v>347</v>
      </c>
    </row>
    <row r="23" ht="14.25" customHeight="1">
      <c r="A23" s="678" t="s">
        <v>346</v>
      </c>
    </row>
    <row r="24" ht="12.75">
      <c r="A24" s="11"/>
    </row>
    <row r="26" spans="6:11" ht="12.75">
      <c r="F26" s="16"/>
      <c r="G26" s="16"/>
      <c r="H26" s="24"/>
      <c r="I26" s="24"/>
      <c r="J26" s="24"/>
      <c r="K26" s="16"/>
    </row>
    <row r="27" spans="6:11" ht="12.75">
      <c r="F27" s="5"/>
      <c r="G27" s="5"/>
      <c r="H27" s="5"/>
      <c r="I27" s="47"/>
      <c r="J27" s="47"/>
      <c r="K27" s="47"/>
    </row>
    <row r="28" spans="6:11" ht="12.75">
      <c r="F28" s="26"/>
      <c r="G28" s="26"/>
      <c r="H28" s="26"/>
      <c r="I28" s="26"/>
      <c r="J28" s="26"/>
      <c r="K28" s="26"/>
    </row>
    <row r="29" spans="6:11" ht="12.75">
      <c r="F29" s="16"/>
      <c r="G29" s="16"/>
      <c r="H29" s="16"/>
      <c r="I29" s="16"/>
      <c r="J29" s="16"/>
      <c r="K29" s="16"/>
    </row>
    <row r="30" ht="12.75">
      <c r="A30" s="16"/>
    </row>
    <row r="31" ht="12.75">
      <c r="A31" s="30"/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  <row r="37" ht="12.75">
      <c r="A37" s="30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29"/>
    </row>
    <row r="49" ht="12.75">
      <c r="A49" s="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8"/>
    </row>
    <row r="58" ht="12.75">
      <c r="A58" s="27"/>
    </row>
    <row r="59" ht="12.75">
      <c r="A59" s="8"/>
    </row>
    <row r="60" ht="12.75">
      <c r="A60" s="8"/>
    </row>
    <row r="61" ht="12.75">
      <c r="A61" s="27"/>
    </row>
    <row r="62" ht="12.75">
      <c r="A62" s="27"/>
    </row>
    <row r="63" ht="12.75">
      <c r="A63" s="27"/>
    </row>
    <row r="64" ht="12.75">
      <c r="A64" s="8"/>
    </row>
    <row r="65" ht="12.75">
      <c r="A65" s="8"/>
    </row>
    <row r="66" ht="12.75">
      <c r="A66" s="27"/>
    </row>
    <row r="67" ht="12.75">
      <c r="A67" s="8"/>
    </row>
    <row r="70" ht="12.75">
      <c r="A70" s="6"/>
    </row>
  </sheetData>
  <sheetProtection/>
  <mergeCells count="6">
    <mergeCell ref="A9:E9"/>
    <mergeCell ref="A10:E10"/>
    <mergeCell ref="A16:H16"/>
    <mergeCell ref="A7:K7"/>
    <mergeCell ref="A6:E6"/>
    <mergeCell ref="A8:E8"/>
  </mergeCells>
  <printOptions/>
  <pageMargins left="1.27" right="0.590551181102362" top="0.748031496062992" bottom="0.984251968503937" header="0.511811023622047" footer="0.511811023622047"/>
  <pageSetup horizontalDpi="600" verticalDpi="600" orientation="portrait" paperSize="9" r:id="rId1"/>
  <headerFooter alignWithMargins="0">
    <oddFooter>&amp;R1/7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74"/>
  <sheetViews>
    <sheetView view="pageBreakPreview" zoomScale="130" zoomScaleNormal="130" zoomScaleSheetLayoutView="130" workbookViewId="0" topLeftCell="A10">
      <selection activeCell="A10" sqref="A10:Q10"/>
    </sheetView>
  </sheetViews>
  <sheetFormatPr defaultColWidth="9.140625" defaultRowHeight="12.75"/>
  <cols>
    <col min="1" max="1" width="3.28125" style="92" customWidth="1"/>
    <col min="2" max="2" width="31.7109375" style="92" customWidth="1"/>
    <col min="3" max="3" width="12.28125" style="41" customWidth="1"/>
    <col min="4" max="6" width="2.421875" style="92" customWidth="1"/>
    <col min="7" max="7" width="2.28125" style="92" customWidth="1"/>
    <col min="8" max="8" width="3.421875" style="92" bestFit="1" customWidth="1"/>
    <col min="9" max="9" width="7.28125" style="92" customWidth="1"/>
    <col min="10" max="10" width="5.7109375" style="92" customWidth="1"/>
    <col min="11" max="12" width="2.7109375" style="92" customWidth="1"/>
    <col min="13" max="13" width="2.57421875" style="92" customWidth="1"/>
    <col min="14" max="14" width="3.140625" style="92" customWidth="1"/>
    <col min="15" max="15" width="3.421875" style="92" bestFit="1" customWidth="1"/>
    <col min="16" max="16" width="7.28125" style="92" customWidth="1"/>
    <col min="17" max="17" width="5.7109375" style="92" customWidth="1"/>
    <col min="18" max="18" width="5.28125" style="0" customWidth="1"/>
    <col min="19" max="19" width="4.00390625" style="0" customWidth="1"/>
    <col min="20" max="20" width="3.8515625" style="0" customWidth="1"/>
    <col min="21" max="21" width="5.28125" style="0" customWidth="1"/>
    <col min="22" max="22" width="3.28125" style="0" customWidth="1"/>
    <col min="23" max="24" width="4.7109375" style="0" customWidth="1"/>
    <col min="25" max="25" width="9.57421875" style="2" customWidth="1"/>
    <col min="26" max="26" width="4.140625" style="0" customWidth="1"/>
    <col min="28" max="28" width="4.57421875" style="0" customWidth="1"/>
    <col min="29" max="29" width="4.421875" style="0" customWidth="1"/>
    <col min="30" max="30" width="4.140625" style="0" customWidth="1"/>
  </cols>
  <sheetData>
    <row r="1" spans="1:17" ht="12.75">
      <c r="A1" s="363" t="s">
        <v>18</v>
      </c>
      <c r="B1" s="363"/>
      <c r="C1" s="363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2.75">
      <c r="A2" s="363" t="s">
        <v>51</v>
      </c>
      <c r="B2" s="363"/>
      <c r="C2" s="363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21" customHeight="1">
      <c r="A3" s="371" t="s">
        <v>17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4"/>
    </row>
    <row r="4" spans="1:19" ht="12.75">
      <c r="A4" s="40"/>
      <c r="B4" s="40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0"/>
      <c r="S4" s="10"/>
    </row>
    <row r="5" spans="1:20" ht="12.75">
      <c r="A5" s="372" t="s">
        <v>52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43"/>
      <c r="O5" s="43"/>
      <c r="P5" s="43"/>
      <c r="Q5" s="43"/>
      <c r="R5" s="17"/>
      <c r="S5" s="15"/>
      <c r="T5" s="10"/>
    </row>
    <row r="6" spans="1:58" ht="12.75">
      <c r="A6" s="372" t="s">
        <v>53</v>
      </c>
      <c r="B6" s="372"/>
      <c r="C6" s="372"/>
      <c r="D6" s="372"/>
      <c r="E6" s="372"/>
      <c r="F6" s="372"/>
      <c r="G6" s="372"/>
      <c r="H6" s="44"/>
      <c r="I6" s="44"/>
      <c r="J6" s="42"/>
      <c r="K6" s="42"/>
      <c r="L6" s="42"/>
      <c r="M6" s="44"/>
      <c r="N6" s="44"/>
      <c r="O6" s="44"/>
      <c r="P6" s="44"/>
      <c r="Q6" s="44"/>
      <c r="R6" s="16"/>
      <c r="S6" s="11"/>
      <c r="T6" s="11"/>
      <c r="U6" s="11"/>
      <c r="V6" s="11"/>
      <c r="W6" s="11"/>
      <c r="X6" s="11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7"/>
      <c r="BD6" s="7"/>
      <c r="BE6" s="6"/>
      <c r="BF6" s="6"/>
    </row>
    <row r="7" spans="1:20" ht="12.75">
      <c r="A7" s="368" t="s">
        <v>54</v>
      </c>
      <c r="B7" s="368"/>
      <c r="C7" s="368"/>
      <c r="D7" s="368"/>
      <c r="E7" s="368"/>
      <c r="F7" s="368"/>
      <c r="G7" s="368"/>
      <c r="H7" s="42"/>
      <c r="I7" s="42"/>
      <c r="J7" s="42"/>
      <c r="K7" s="46"/>
      <c r="L7" s="46"/>
      <c r="M7" s="46"/>
      <c r="N7" s="46"/>
      <c r="O7" s="46"/>
      <c r="P7" s="46"/>
      <c r="Q7" s="46"/>
      <c r="R7" s="47"/>
      <c r="S7" s="10"/>
      <c r="T7" s="10"/>
    </row>
    <row r="8" spans="1:20" ht="12.75">
      <c r="A8" s="368" t="s">
        <v>55</v>
      </c>
      <c r="B8" s="368"/>
      <c r="C8" s="368"/>
      <c r="D8" s="368"/>
      <c r="E8" s="368"/>
      <c r="F8" s="368"/>
      <c r="G8" s="368"/>
      <c r="H8" s="48"/>
      <c r="I8" s="48"/>
      <c r="J8" s="48"/>
      <c r="K8" s="48"/>
      <c r="L8" s="48"/>
      <c r="M8" s="48"/>
      <c r="N8" s="48"/>
      <c r="O8" s="48"/>
      <c r="P8" s="48"/>
      <c r="Q8" s="48"/>
      <c r="R8" s="26"/>
      <c r="S8" s="10"/>
      <c r="T8" s="10"/>
    </row>
    <row r="9" spans="1:20" ht="12.75">
      <c r="A9" s="372" t="s">
        <v>245</v>
      </c>
      <c r="B9" s="372"/>
      <c r="C9" s="372"/>
      <c r="D9" s="372"/>
      <c r="E9" s="372"/>
      <c r="F9" s="372"/>
      <c r="G9" s="372"/>
      <c r="H9" s="44"/>
      <c r="I9" s="44"/>
      <c r="J9" s="44"/>
      <c r="K9" s="44"/>
      <c r="L9" s="44"/>
      <c r="M9" s="44"/>
      <c r="N9" s="44"/>
      <c r="O9" s="44"/>
      <c r="P9" s="44"/>
      <c r="Q9" s="44"/>
      <c r="R9" s="16"/>
      <c r="S9" s="11"/>
      <c r="T9" s="11"/>
    </row>
    <row r="10" spans="1:20" ht="30.75" customHeight="1" thickBot="1">
      <c r="A10" s="379" t="s">
        <v>5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T10" s="2"/>
    </row>
    <row r="11" spans="1:18" ht="13.5" customHeight="1">
      <c r="A11" s="487" t="s">
        <v>11</v>
      </c>
      <c r="B11" s="488" t="s">
        <v>6</v>
      </c>
      <c r="C11" s="489" t="s">
        <v>56</v>
      </c>
      <c r="D11" s="490" t="s">
        <v>57</v>
      </c>
      <c r="E11" s="491"/>
      <c r="F11" s="491"/>
      <c r="G11" s="491"/>
      <c r="H11" s="491"/>
      <c r="I11" s="491"/>
      <c r="J11" s="492"/>
      <c r="K11" s="490" t="s">
        <v>58</v>
      </c>
      <c r="L11" s="491"/>
      <c r="M11" s="491"/>
      <c r="N11" s="491"/>
      <c r="O11" s="491"/>
      <c r="P11" s="491"/>
      <c r="Q11" s="492"/>
      <c r="R11" s="49"/>
    </row>
    <row r="12" spans="1:31" ht="12.75" customHeight="1">
      <c r="A12" s="493"/>
      <c r="B12" s="494"/>
      <c r="C12" s="495"/>
      <c r="D12" s="496" t="s">
        <v>7</v>
      </c>
      <c r="E12" s="497" t="s">
        <v>8</v>
      </c>
      <c r="F12" s="497" t="s">
        <v>9</v>
      </c>
      <c r="G12" s="497" t="s">
        <v>10</v>
      </c>
      <c r="H12" s="497" t="s">
        <v>28</v>
      </c>
      <c r="I12" s="497" t="s">
        <v>12</v>
      </c>
      <c r="J12" s="498" t="s">
        <v>13</v>
      </c>
      <c r="K12" s="496" t="s">
        <v>7</v>
      </c>
      <c r="L12" s="497" t="s">
        <v>8</v>
      </c>
      <c r="M12" s="497" t="s">
        <v>9</v>
      </c>
      <c r="N12" s="497" t="s">
        <v>10</v>
      </c>
      <c r="O12" s="497" t="s">
        <v>28</v>
      </c>
      <c r="P12" s="497" t="s">
        <v>12</v>
      </c>
      <c r="Q12" s="498" t="s">
        <v>13</v>
      </c>
      <c r="Z12" s="272" t="s">
        <v>171</v>
      </c>
      <c r="AB12" s="272" t="s">
        <v>172</v>
      </c>
      <c r="AD12" s="39"/>
      <c r="AE12" s="272" t="s">
        <v>173</v>
      </c>
    </row>
    <row r="13" spans="1:32" ht="10.5" customHeight="1" thickBot="1">
      <c r="A13" s="499"/>
      <c r="B13" s="500"/>
      <c r="C13" s="501"/>
      <c r="D13" s="499"/>
      <c r="E13" s="502"/>
      <c r="F13" s="502"/>
      <c r="G13" s="502"/>
      <c r="H13" s="502"/>
      <c r="I13" s="502"/>
      <c r="J13" s="503"/>
      <c r="K13" s="499"/>
      <c r="L13" s="502"/>
      <c r="M13" s="502"/>
      <c r="N13" s="502"/>
      <c r="O13" s="502"/>
      <c r="P13" s="502"/>
      <c r="Q13" s="503"/>
      <c r="S13" s="178" t="s">
        <v>171</v>
      </c>
      <c r="T13" s="171" t="s">
        <v>172</v>
      </c>
      <c r="U13" s="171" t="s">
        <v>173</v>
      </c>
      <c r="V13" s="171"/>
      <c r="W13" s="171" t="s">
        <v>174</v>
      </c>
      <c r="X13" s="171" t="s">
        <v>175</v>
      </c>
      <c r="Y13" s="180"/>
      <c r="Z13" s="353" t="s">
        <v>7</v>
      </c>
      <c r="AA13" s="169" t="s">
        <v>269</v>
      </c>
      <c r="AB13" s="353" t="s">
        <v>7</v>
      </c>
      <c r="AC13" s="169" t="s">
        <v>269</v>
      </c>
      <c r="AD13" s="50"/>
      <c r="AE13" s="353" t="s">
        <v>7</v>
      </c>
      <c r="AF13" s="169" t="s">
        <v>269</v>
      </c>
    </row>
    <row r="14" spans="1:27" ht="12.75">
      <c r="A14" s="297">
        <v>1</v>
      </c>
      <c r="B14" s="298" t="s">
        <v>241</v>
      </c>
      <c r="C14" s="299" t="s">
        <v>239</v>
      </c>
      <c r="D14" s="327">
        <v>2</v>
      </c>
      <c r="E14" s="328">
        <v>1</v>
      </c>
      <c r="F14" s="328"/>
      <c r="G14" s="329"/>
      <c r="H14" s="329">
        <f aca="true" t="shared" si="0" ref="H14:H19">J14*25-D14*14-(SUM(E14:G14)*14)-2</f>
        <v>81</v>
      </c>
      <c r="I14" s="328" t="s">
        <v>60</v>
      </c>
      <c r="J14" s="330">
        <v>5</v>
      </c>
      <c r="K14" s="304"/>
      <c r="L14" s="304"/>
      <c r="M14" s="304"/>
      <c r="N14" s="304"/>
      <c r="O14" s="304"/>
      <c r="P14" s="304"/>
      <c r="Q14" s="305"/>
      <c r="R14" s="306"/>
      <c r="S14" s="306">
        <f aca="true" t="shared" si="1" ref="S14:S20">IF(LEFT($C14,2)="DF",(SUM(D14:G14,K14:N14)*14),"")</f>
        <v>42</v>
      </c>
      <c r="T14" s="306">
        <f>IF(LEFT($C14,2)="DS",(SUM(D14:G14,K14:N14)*14),"")</f>
      </c>
      <c r="U14" s="306">
        <f aca="true" t="shared" si="2" ref="U14:U20">IF(LEFT($C14,2)="DC",(SUM(D14:G14,K14:N14)*14),"")</f>
      </c>
      <c r="V14" s="307"/>
      <c r="W14" s="306">
        <f>SUM(S14:V14)</f>
        <v>42</v>
      </c>
      <c r="Z14">
        <f>D14*14</f>
        <v>28</v>
      </c>
      <c r="AA14">
        <f>E14*14</f>
        <v>14</v>
      </c>
    </row>
    <row r="15" spans="1:27" ht="12.75">
      <c r="A15" s="308">
        <v>2</v>
      </c>
      <c r="B15" s="309" t="s">
        <v>59</v>
      </c>
      <c r="C15" s="286" t="s">
        <v>202</v>
      </c>
      <c r="D15" s="331">
        <v>2</v>
      </c>
      <c r="E15" s="301"/>
      <c r="F15" s="301">
        <v>2</v>
      </c>
      <c r="G15" s="302"/>
      <c r="H15" s="302">
        <f t="shared" si="0"/>
        <v>92</v>
      </c>
      <c r="I15" s="301" t="s">
        <v>60</v>
      </c>
      <c r="J15" s="303">
        <v>6</v>
      </c>
      <c r="K15" s="304"/>
      <c r="L15" s="304"/>
      <c r="M15" s="304"/>
      <c r="N15" s="304"/>
      <c r="O15" s="304"/>
      <c r="P15" s="304"/>
      <c r="Q15" s="305"/>
      <c r="R15" s="306"/>
      <c r="S15" s="306">
        <f t="shared" si="1"/>
        <v>56</v>
      </c>
      <c r="T15" s="306">
        <f aca="true" t="shared" si="3" ref="T15:T25">IF(LEFT($C15,2)="DS",(SUM(D15:G15,K15:N15)*14),"")</f>
      </c>
      <c r="U15" s="306">
        <f t="shared" si="2"/>
      </c>
      <c r="V15" s="307"/>
      <c r="W15" s="306">
        <f aca="true" t="shared" si="4" ref="W15:W25">SUM(S15:V15)</f>
        <v>56</v>
      </c>
      <c r="Z15">
        <f>D15*14</f>
        <v>28</v>
      </c>
      <c r="AA15">
        <f>F15*14</f>
        <v>28</v>
      </c>
    </row>
    <row r="16" spans="1:27" ht="12.75">
      <c r="A16" s="308">
        <v>3</v>
      </c>
      <c r="B16" s="298" t="s">
        <v>61</v>
      </c>
      <c r="C16" s="286" t="s">
        <v>186</v>
      </c>
      <c r="D16" s="331">
        <v>2</v>
      </c>
      <c r="E16" s="300"/>
      <c r="F16" s="301">
        <v>2</v>
      </c>
      <c r="G16" s="302"/>
      <c r="H16" s="302">
        <f t="shared" si="0"/>
        <v>92</v>
      </c>
      <c r="I16" s="301" t="s">
        <v>60</v>
      </c>
      <c r="J16" s="303">
        <v>6</v>
      </c>
      <c r="K16" s="310"/>
      <c r="L16" s="310"/>
      <c r="M16" s="310"/>
      <c r="N16" s="310"/>
      <c r="O16" s="310"/>
      <c r="P16" s="310"/>
      <c r="Q16" s="311"/>
      <c r="R16" s="306"/>
      <c r="S16" s="306">
        <f t="shared" si="1"/>
        <v>56</v>
      </c>
      <c r="T16" s="306">
        <f t="shared" si="3"/>
      </c>
      <c r="U16" s="306">
        <f t="shared" si="2"/>
      </c>
      <c r="V16" s="307"/>
      <c r="W16" s="306">
        <f t="shared" si="4"/>
        <v>56</v>
      </c>
      <c r="Z16">
        <f>D16*14</f>
        <v>28</v>
      </c>
      <c r="AA16">
        <f>F16*14</f>
        <v>28</v>
      </c>
    </row>
    <row r="17" spans="1:32" ht="12.75">
      <c r="A17" s="308">
        <v>4</v>
      </c>
      <c r="B17" s="312" t="s">
        <v>62</v>
      </c>
      <c r="C17" s="286" t="s">
        <v>203</v>
      </c>
      <c r="D17" s="332">
        <v>2</v>
      </c>
      <c r="E17" s="313">
        <v>2</v>
      </c>
      <c r="F17" s="313"/>
      <c r="G17" s="310"/>
      <c r="H17" s="302">
        <f t="shared" si="0"/>
        <v>67</v>
      </c>
      <c r="I17" s="313" t="s">
        <v>7</v>
      </c>
      <c r="J17" s="314">
        <v>5</v>
      </c>
      <c r="K17" s="304"/>
      <c r="L17" s="304"/>
      <c r="M17" s="304"/>
      <c r="N17" s="304"/>
      <c r="O17" s="304"/>
      <c r="P17" s="304"/>
      <c r="Q17" s="305"/>
      <c r="R17" s="306"/>
      <c r="S17" s="306">
        <f t="shared" si="1"/>
      </c>
      <c r="T17" s="306">
        <f t="shared" si="3"/>
      </c>
      <c r="U17" s="306">
        <f t="shared" si="2"/>
        <v>56</v>
      </c>
      <c r="V17" s="307"/>
      <c r="W17" s="306">
        <f t="shared" si="4"/>
        <v>56</v>
      </c>
      <c r="AE17">
        <f>D17*14</f>
        <v>28</v>
      </c>
      <c r="AF17">
        <f>E17*14</f>
        <v>28</v>
      </c>
    </row>
    <row r="18" spans="1:27" ht="12.75">
      <c r="A18" s="308">
        <v>5</v>
      </c>
      <c r="B18" s="315" t="s">
        <v>214</v>
      </c>
      <c r="C18" s="286" t="s">
        <v>230</v>
      </c>
      <c r="D18" s="331">
        <v>2</v>
      </c>
      <c r="E18" s="301"/>
      <c r="F18" s="301">
        <v>2</v>
      </c>
      <c r="G18" s="302"/>
      <c r="H18" s="302">
        <f t="shared" si="0"/>
        <v>67</v>
      </c>
      <c r="I18" s="301" t="s">
        <v>60</v>
      </c>
      <c r="J18" s="303">
        <v>5</v>
      </c>
      <c r="K18" s="316"/>
      <c r="L18" s="316"/>
      <c r="M18" s="316"/>
      <c r="N18" s="316"/>
      <c r="O18" s="316"/>
      <c r="P18" s="316"/>
      <c r="Q18" s="317"/>
      <c r="R18" s="306"/>
      <c r="S18" s="306">
        <f t="shared" si="1"/>
        <v>56</v>
      </c>
      <c r="T18" s="306">
        <f>IF(LEFT($C18,2)="DS",(SUM(D18:G18,K18:N18)*14),"")</f>
      </c>
      <c r="U18" s="306">
        <f t="shared" si="2"/>
      </c>
      <c r="V18" s="307"/>
      <c r="W18" s="306">
        <f>SUM(S18:V18)</f>
        <v>56</v>
      </c>
      <c r="Z18">
        <f>D18*14</f>
        <v>28</v>
      </c>
      <c r="AA18">
        <f>F18*14</f>
        <v>28</v>
      </c>
    </row>
    <row r="19" spans="1:32" ht="12.75">
      <c r="A19" s="308">
        <v>6</v>
      </c>
      <c r="B19" s="318" t="s">
        <v>219</v>
      </c>
      <c r="C19" s="319" t="s">
        <v>266</v>
      </c>
      <c r="D19" s="333"/>
      <c r="E19" s="320">
        <v>1</v>
      </c>
      <c r="F19" s="301"/>
      <c r="G19" s="302"/>
      <c r="H19" s="302">
        <f t="shared" si="0"/>
        <v>59</v>
      </c>
      <c r="I19" s="321" t="s">
        <v>218</v>
      </c>
      <c r="J19" s="303">
        <v>3</v>
      </c>
      <c r="K19" s="316"/>
      <c r="L19" s="316"/>
      <c r="M19" s="316"/>
      <c r="N19" s="316"/>
      <c r="O19" s="316"/>
      <c r="P19" s="316"/>
      <c r="Q19" s="317"/>
      <c r="R19" s="306"/>
      <c r="S19" s="306">
        <f t="shared" si="1"/>
      </c>
      <c r="T19" s="306">
        <f>IF(LEFT($C19,2)="DS",(SUM(D19:G19,K19:N19)*14),"")</f>
      </c>
      <c r="U19" s="306">
        <f t="shared" si="2"/>
        <v>14</v>
      </c>
      <c r="V19" s="307"/>
      <c r="W19" s="306">
        <f>SUM(S19:V19)</f>
        <v>14</v>
      </c>
      <c r="AF19">
        <f>E19*14</f>
        <v>14</v>
      </c>
    </row>
    <row r="20" spans="1:29" ht="12.75">
      <c r="A20" s="308">
        <v>7</v>
      </c>
      <c r="B20" s="292" t="s">
        <v>98</v>
      </c>
      <c r="C20" s="286" t="s">
        <v>232</v>
      </c>
      <c r="D20" s="334"/>
      <c r="E20" s="316"/>
      <c r="F20" s="295"/>
      <c r="G20" s="295"/>
      <c r="H20" s="295"/>
      <c r="I20" s="295"/>
      <c r="J20" s="317"/>
      <c r="K20" s="293">
        <v>1</v>
      </c>
      <c r="L20" s="294">
        <v>1</v>
      </c>
      <c r="M20" s="294"/>
      <c r="N20" s="295"/>
      <c r="O20" s="302">
        <f>Q20*25-K20*12-(SUM(L20:N20)*12)-2</f>
        <v>49</v>
      </c>
      <c r="P20" s="294" t="s">
        <v>7</v>
      </c>
      <c r="Q20" s="296">
        <v>3</v>
      </c>
      <c r="R20" s="306"/>
      <c r="S20" s="306">
        <f t="shared" si="1"/>
      </c>
      <c r="T20" s="306">
        <f>IF(LEFT($C20,2)="DS",(SUM(D20:G20,K20:N20)*12),"")</f>
        <v>24</v>
      </c>
      <c r="U20" s="306">
        <f t="shared" si="2"/>
      </c>
      <c r="V20" s="307"/>
      <c r="W20" s="306">
        <f>SUM(S20:V20)</f>
        <v>24</v>
      </c>
      <c r="AB20">
        <v>12</v>
      </c>
      <c r="AC20">
        <v>12</v>
      </c>
    </row>
    <row r="21" spans="1:29" s="270" customFormat="1" ht="12.75">
      <c r="A21" s="308">
        <v>8</v>
      </c>
      <c r="B21" s="292" t="s">
        <v>87</v>
      </c>
      <c r="C21" s="286" t="s">
        <v>107</v>
      </c>
      <c r="D21" s="334"/>
      <c r="E21" s="316"/>
      <c r="F21" s="295"/>
      <c r="G21" s="295"/>
      <c r="H21" s="295"/>
      <c r="I21" s="295"/>
      <c r="J21" s="317"/>
      <c r="K21" s="293">
        <v>1</v>
      </c>
      <c r="L21" s="294"/>
      <c r="M21" s="294">
        <v>1</v>
      </c>
      <c r="N21" s="295"/>
      <c r="O21" s="302">
        <f aca="true" t="shared" si="5" ref="O21:O26">Q21*25-K21*12-(SUM(L21:N21)*12)-2</f>
        <v>49</v>
      </c>
      <c r="P21" s="294" t="s">
        <v>60</v>
      </c>
      <c r="Q21" s="296">
        <v>3</v>
      </c>
      <c r="R21" s="306"/>
      <c r="S21" s="306">
        <f aca="true" t="shared" si="6" ref="S21:S26">IF(LEFT($C21,2)="DF",(SUM(D21:G21,K21:N21)*12),"")</f>
      </c>
      <c r="T21" s="306">
        <f>IF(LEFT($C21,2)="DS",(SUM(D21:G21,K21:N21)*12),"")</f>
        <v>24</v>
      </c>
      <c r="U21" s="306">
        <f aca="true" t="shared" si="7" ref="U21:U26">IF(LEFT($C21,2)="DC",(SUM(D21:G21,K21:N21)*12),"")</f>
      </c>
      <c r="V21" s="307"/>
      <c r="W21" s="306">
        <f t="shared" si="4"/>
        <v>24</v>
      </c>
      <c r="Y21" s="271"/>
      <c r="AB21" s="270">
        <v>12</v>
      </c>
      <c r="AC21" s="270">
        <v>12</v>
      </c>
    </row>
    <row r="22" spans="1:29" ht="12.75">
      <c r="A22" s="308">
        <v>9</v>
      </c>
      <c r="B22" s="309" t="s">
        <v>65</v>
      </c>
      <c r="C22" s="286" t="s">
        <v>108</v>
      </c>
      <c r="D22" s="335"/>
      <c r="E22" s="304"/>
      <c r="F22" s="302"/>
      <c r="G22" s="302"/>
      <c r="H22" s="302"/>
      <c r="I22" s="302"/>
      <c r="J22" s="305"/>
      <c r="K22" s="304">
        <v>2</v>
      </c>
      <c r="L22" s="304"/>
      <c r="M22" s="302">
        <v>2</v>
      </c>
      <c r="N22" s="302"/>
      <c r="O22" s="302">
        <f t="shared" si="5"/>
        <v>50</v>
      </c>
      <c r="P22" s="302" t="s">
        <v>60</v>
      </c>
      <c r="Q22" s="305">
        <v>4</v>
      </c>
      <c r="R22" s="306"/>
      <c r="S22" s="306">
        <f t="shared" si="6"/>
      </c>
      <c r="T22" s="306">
        <f>IF(LEFT($C22,2)="DS",(SUM(D22:G22,K22:N22)*12),"")</f>
        <v>48</v>
      </c>
      <c r="U22" s="306">
        <f t="shared" si="7"/>
      </c>
      <c r="V22" s="307"/>
      <c r="W22" s="306">
        <f t="shared" si="4"/>
        <v>48</v>
      </c>
      <c r="AB22">
        <v>24</v>
      </c>
      <c r="AC22">
        <v>24</v>
      </c>
    </row>
    <row r="23" spans="1:29" ht="12.75">
      <c r="A23" s="308">
        <v>10</v>
      </c>
      <c r="B23" s="309" t="s">
        <v>66</v>
      </c>
      <c r="C23" s="286" t="s">
        <v>247</v>
      </c>
      <c r="D23" s="335"/>
      <c r="E23" s="304"/>
      <c r="F23" s="302"/>
      <c r="G23" s="302"/>
      <c r="H23" s="302"/>
      <c r="I23" s="302"/>
      <c r="J23" s="305"/>
      <c r="K23" s="300">
        <v>1</v>
      </c>
      <c r="L23" s="301"/>
      <c r="M23" s="301">
        <v>1</v>
      </c>
      <c r="N23" s="302"/>
      <c r="O23" s="302">
        <f t="shared" si="5"/>
        <v>49</v>
      </c>
      <c r="P23" s="301" t="s">
        <v>60</v>
      </c>
      <c r="Q23" s="303">
        <v>3</v>
      </c>
      <c r="R23" s="322"/>
      <c r="S23" s="306">
        <f t="shared" si="6"/>
      </c>
      <c r="T23" s="306">
        <f>IF(LEFT($C23,2)="DS",(SUM(D23:G23,K23:N23)*12),"")</f>
        <v>24</v>
      </c>
      <c r="U23" s="306">
        <f t="shared" si="7"/>
      </c>
      <c r="V23" s="307"/>
      <c r="W23" s="306">
        <f t="shared" si="4"/>
        <v>24</v>
      </c>
      <c r="AB23">
        <v>12</v>
      </c>
      <c r="AC23">
        <v>12</v>
      </c>
    </row>
    <row r="24" spans="1:27" ht="12.75">
      <c r="A24" s="308">
        <v>11</v>
      </c>
      <c r="B24" s="292" t="s">
        <v>67</v>
      </c>
      <c r="C24" s="286" t="s">
        <v>109</v>
      </c>
      <c r="D24" s="334"/>
      <c r="E24" s="316"/>
      <c r="F24" s="295"/>
      <c r="G24" s="295"/>
      <c r="H24" s="295"/>
      <c r="I24" s="295"/>
      <c r="J24" s="317"/>
      <c r="K24" s="293">
        <v>2</v>
      </c>
      <c r="L24" s="294"/>
      <c r="M24" s="294">
        <v>2</v>
      </c>
      <c r="N24" s="295"/>
      <c r="O24" s="302">
        <f t="shared" si="5"/>
        <v>50</v>
      </c>
      <c r="P24" s="294" t="s">
        <v>60</v>
      </c>
      <c r="Q24" s="296">
        <v>4</v>
      </c>
      <c r="R24" s="322"/>
      <c r="S24" s="306">
        <f t="shared" si="6"/>
        <v>48</v>
      </c>
      <c r="T24" s="306">
        <f t="shared" si="3"/>
      </c>
      <c r="U24" s="306">
        <f t="shared" si="7"/>
      </c>
      <c r="V24" s="307"/>
      <c r="W24" s="306">
        <f t="shared" si="4"/>
        <v>48</v>
      </c>
      <c r="Z24">
        <v>24</v>
      </c>
      <c r="AA24">
        <v>24</v>
      </c>
    </row>
    <row r="25" spans="1:27" ht="12.75">
      <c r="A25" s="308">
        <v>12</v>
      </c>
      <c r="B25" s="309" t="s">
        <v>68</v>
      </c>
      <c r="C25" s="286" t="s">
        <v>248</v>
      </c>
      <c r="D25" s="335"/>
      <c r="E25" s="304"/>
      <c r="F25" s="302"/>
      <c r="G25" s="302"/>
      <c r="H25" s="302"/>
      <c r="I25" s="302"/>
      <c r="J25" s="305"/>
      <c r="K25" s="300">
        <v>2</v>
      </c>
      <c r="L25" s="301"/>
      <c r="M25" s="301">
        <v>1</v>
      </c>
      <c r="N25" s="302"/>
      <c r="O25" s="302">
        <f t="shared" si="5"/>
        <v>62</v>
      </c>
      <c r="P25" s="301" t="s">
        <v>60</v>
      </c>
      <c r="Q25" s="303">
        <v>4</v>
      </c>
      <c r="R25" s="306"/>
      <c r="S25" s="306">
        <f t="shared" si="6"/>
        <v>36</v>
      </c>
      <c r="T25" s="306">
        <f t="shared" si="3"/>
      </c>
      <c r="U25" s="306">
        <f t="shared" si="7"/>
      </c>
      <c r="V25" s="307"/>
      <c r="W25" s="306">
        <f t="shared" si="4"/>
        <v>36</v>
      </c>
      <c r="Z25">
        <v>24</v>
      </c>
      <c r="AA25">
        <v>12</v>
      </c>
    </row>
    <row r="26" spans="1:32" ht="12.75">
      <c r="A26" s="308">
        <v>13</v>
      </c>
      <c r="B26" s="323" t="s">
        <v>219</v>
      </c>
      <c r="C26" s="319" t="s">
        <v>283</v>
      </c>
      <c r="D26" s="324"/>
      <c r="E26" s="321"/>
      <c r="F26" s="321"/>
      <c r="G26" s="321"/>
      <c r="H26" s="321"/>
      <c r="I26" s="321"/>
      <c r="J26" s="325"/>
      <c r="K26" s="321"/>
      <c r="L26" s="321">
        <v>1</v>
      </c>
      <c r="M26" s="321"/>
      <c r="N26" s="321"/>
      <c r="O26" s="339">
        <f t="shared" si="5"/>
        <v>61</v>
      </c>
      <c r="P26" s="321" t="s">
        <v>218</v>
      </c>
      <c r="Q26" s="325">
        <v>3</v>
      </c>
      <c r="R26" s="306"/>
      <c r="S26" s="306">
        <f t="shared" si="6"/>
      </c>
      <c r="T26" s="306">
        <f>IF(LEFT($C26,2)="DS",(SUM(D26:G26,K26:N26)*14),"")</f>
      </c>
      <c r="U26" s="306">
        <f t="shared" si="7"/>
        <v>12</v>
      </c>
      <c r="V26" s="307"/>
      <c r="W26" s="306">
        <f>SUM(S26:V26)</f>
        <v>12</v>
      </c>
      <c r="AF26">
        <v>12</v>
      </c>
    </row>
    <row r="27" spans="1:29" ht="13.5" thickBot="1">
      <c r="A27" s="308">
        <v>14</v>
      </c>
      <c r="B27" s="323" t="s">
        <v>210</v>
      </c>
      <c r="C27" s="326" t="s">
        <v>284</v>
      </c>
      <c r="D27" s="336"/>
      <c r="E27" s="337"/>
      <c r="F27" s="337"/>
      <c r="G27" s="337"/>
      <c r="H27" s="337"/>
      <c r="I27" s="337"/>
      <c r="J27" s="338"/>
      <c r="K27" s="504" t="s">
        <v>227</v>
      </c>
      <c r="L27" s="504"/>
      <c r="M27" s="504"/>
      <c r="N27" s="504"/>
      <c r="O27" s="505"/>
      <c r="P27" s="321" t="s">
        <v>7</v>
      </c>
      <c r="Q27" s="325">
        <v>3</v>
      </c>
      <c r="R27" s="306"/>
      <c r="S27" s="306">
        <f>IF(LEFT($C27,2)="DF",(SUM(D27:G27,K27:N27)*14),"")</f>
      </c>
      <c r="T27" s="306">
        <v>44</v>
      </c>
      <c r="U27" s="306">
        <f>IF(LEFT($C27,2)="DC",(SUM(D27:G27,K27:N27)*14),"")</f>
      </c>
      <c r="V27" s="307"/>
      <c r="W27" s="306">
        <v>44</v>
      </c>
      <c r="AC27">
        <v>44</v>
      </c>
    </row>
    <row r="28" spans="1:22" ht="12.75">
      <c r="A28" s="506" t="s">
        <v>19</v>
      </c>
      <c r="B28" s="507"/>
      <c r="C28" s="507"/>
      <c r="D28" s="327">
        <f>SUM(D14:D27)</f>
        <v>10</v>
      </c>
      <c r="E28" s="508">
        <f>SUM(E14:E27)</f>
        <v>4</v>
      </c>
      <c r="F28" s="328">
        <f>SUM(F14:F27)</f>
        <v>6</v>
      </c>
      <c r="G28" s="509"/>
      <c r="H28" s="510">
        <f>SUM(H14:H27)</f>
        <v>458</v>
      </c>
      <c r="I28" s="511" t="s">
        <v>69</v>
      </c>
      <c r="J28" s="512">
        <f>SUM(J14:J27)-J19</f>
        <v>27</v>
      </c>
      <c r="K28" s="327">
        <f>SUM(K14:K27)</f>
        <v>9</v>
      </c>
      <c r="L28" s="508">
        <f>SUM(L14:L27)</f>
        <v>2</v>
      </c>
      <c r="M28" s="328">
        <f>SUM(M14:M27)</f>
        <v>7</v>
      </c>
      <c r="N28" s="509"/>
      <c r="O28" s="510">
        <f>SUM(O14:O27)</f>
        <v>370</v>
      </c>
      <c r="P28" s="511" t="s">
        <v>204</v>
      </c>
      <c r="Q28" s="512">
        <f>SUM(Q14:Q25)+Q27</f>
        <v>24</v>
      </c>
      <c r="T28" s="59"/>
      <c r="U28" s="2"/>
      <c r="V28" s="2"/>
    </row>
    <row r="29" spans="1:17" ht="13.5" thickBot="1">
      <c r="A29" s="513"/>
      <c r="B29" s="514"/>
      <c r="C29" s="514"/>
      <c r="D29" s="515">
        <f>SUM(D28:G28)</f>
        <v>20</v>
      </c>
      <c r="E29" s="516"/>
      <c r="F29" s="516"/>
      <c r="G29" s="517"/>
      <c r="H29" s="518"/>
      <c r="I29" s="502"/>
      <c r="J29" s="519"/>
      <c r="K29" s="515">
        <f>SUM(K28:N28)</f>
        <v>18</v>
      </c>
      <c r="L29" s="516"/>
      <c r="M29" s="516"/>
      <c r="N29" s="517"/>
      <c r="O29" s="518"/>
      <c r="P29" s="502"/>
      <c r="Q29" s="519"/>
    </row>
    <row r="30" spans="1:17" ht="13.5" thickBot="1">
      <c r="A30" s="520"/>
      <c r="B30" s="520"/>
      <c r="C30" s="520"/>
      <c r="D30" s="521"/>
      <c r="E30" s="521"/>
      <c r="F30" s="521"/>
      <c r="G30" s="521"/>
      <c r="H30" s="521"/>
      <c r="I30" s="522"/>
      <c r="J30" s="521"/>
      <c r="K30" s="521"/>
      <c r="L30" s="521"/>
      <c r="M30" s="521"/>
      <c r="N30" s="521"/>
      <c r="O30" s="521"/>
      <c r="P30" s="522"/>
      <c r="Q30" s="521"/>
    </row>
    <row r="31" spans="1:17" ht="12.75">
      <c r="A31" s="487" t="s">
        <v>11</v>
      </c>
      <c r="B31" s="511" t="s">
        <v>71</v>
      </c>
      <c r="C31" s="523" t="s">
        <v>56</v>
      </c>
      <c r="D31" s="490" t="s">
        <v>57</v>
      </c>
      <c r="E31" s="491"/>
      <c r="F31" s="491"/>
      <c r="G31" s="491"/>
      <c r="H31" s="491"/>
      <c r="I31" s="491"/>
      <c r="J31" s="492"/>
      <c r="K31" s="490" t="s">
        <v>58</v>
      </c>
      <c r="L31" s="491"/>
      <c r="M31" s="491"/>
      <c r="N31" s="491"/>
      <c r="O31" s="491"/>
      <c r="P31" s="491"/>
      <c r="Q31" s="492"/>
    </row>
    <row r="32" spans="1:17" ht="12.75">
      <c r="A32" s="493"/>
      <c r="B32" s="524"/>
      <c r="C32" s="525"/>
      <c r="D32" s="496" t="s">
        <v>7</v>
      </c>
      <c r="E32" s="497" t="s">
        <v>8</v>
      </c>
      <c r="F32" s="497" t="s">
        <v>9</v>
      </c>
      <c r="G32" s="497" t="s">
        <v>10</v>
      </c>
      <c r="H32" s="497" t="s">
        <v>28</v>
      </c>
      <c r="I32" s="497" t="s">
        <v>12</v>
      </c>
      <c r="J32" s="498" t="s">
        <v>13</v>
      </c>
      <c r="K32" s="496" t="s">
        <v>7</v>
      </c>
      <c r="L32" s="497" t="s">
        <v>8</v>
      </c>
      <c r="M32" s="497" t="s">
        <v>9</v>
      </c>
      <c r="N32" s="497" t="s">
        <v>10</v>
      </c>
      <c r="O32" s="497" t="s">
        <v>28</v>
      </c>
      <c r="P32" s="497" t="s">
        <v>12</v>
      </c>
      <c r="Q32" s="498" t="s">
        <v>13</v>
      </c>
    </row>
    <row r="33" spans="1:32" ht="10.5" customHeight="1" thickBot="1">
      <c r="A33" s="499"/>
      <c r="B33" s="502"/>
      <c r="C33" s="503"/>
      <c r="D33" s="499"/>
      <c r="E33" s="502"/>
      <c r="F33" s="502"/>
      <c r="G33" s="502"/>
      <c r="H33" s="502"/>
      <c r="I33" s="502"/>
      <c r="J33" s="503"/>
      <c r="K33" s="499"/>
      <c r="L33" s="502"/>
      <c r="M33" s="502"/>
      <c r="N33" s="502"/>
      <c r="O33" s="502"/>
      <c r="P33" s="502"/>
      <c r="Q33" s="503"/>
      <c r="S33" s="178" t="s">
        <v>171</v>
      </c>
      <c r="T33" s="171" t="s">
        <v>172</v>
      </c>
      <c r="U33" s="171" t="s">
        <v>173</v>
      </c>
      <c r="V33" s="171"/>
      <c r="W33" s="171" t="s">
        <v>174</v>
      </c>
      <c r="X33" s="171" t="s">
        <v>175</v>
      </c>
      <c r="Z33" s="353" t="s">
        <v>7</v>
      </c>
      <c r="AA33" s="169" t="s">
        <v>269</v>
      </c>
      <c r="AB33" s="353" t="s">
        <v>7</v>
      </c>
      <c r="AC33" s="169" t="s">
        <v>269</v>
      </c>
      <c r="AD33" s="50"/>
      <c r="AE33" s="353" t="s">
        <v>7</v>
      </c>
      <c r="AF33" s="169" t="s">
        <v>269</v>
      </c>
    </row>
    <row r="34" spans="1:32" ht="12.75">
      <c r="A34" s="526">
        <v>15</v>
      </c>
      <c r="B34" s="527" t="s">
        <v>279</v>
      </c>
      <c r="C34" s="528" t="s">
        <v>261</v>
      </c>
      <c r="D34" s="529"/>
      <c r="E34" s="530"/>
      <c r="F34" s="530">
        <v>2</v>
      </c>
      <c r="G34" s="530"/>
      <c r="H34" s="510">
        <f>J34*25-D34*14-(SUM(E34:G34)*14)-2</f>
        <v>45</v>
      </c>
      <c r="I34" s="530" t="s">
        <v>7</v>
      </c>
      <c r="J34" s="531">
        <v>3</v>
      </c>
      <c r="K34" s="532"/>
      <c r="L34" s="533"/>
      <c r="M34" s="533"/>
      <c r="N34" s="533"/>
      <c r="O34" s="533"/>
      <c r="P34" s="533"/>
      <c r="Q34" s="534"/>
      <c r="S34" s="178"/>
      <c r="T34" s="171"/>
      <c r="U34">
        <f>IF(LEFT($C34,2)="DC",(SUM(D34:G34,K34:N34)*14),"")</f>
        <v>28</v>
      </c>
      <c r="V34" s="2"/>
      <c r="X34" s="78">
        <f>SUM(S34:U34)</f>
        <v>28</v>
      </c>
      <c r="AF34">
        <v>28</v>
      </c>
    </row>
    <row r="35" spans="1:24" ht="13.5" thickBot="1">
      <c r="A35" s="535">
        <v>16</v>
      </c>
      <c r="B35" s="536" t="s">
        <v>281</v>
      </c>
      <c r="C35" s="537" t="s">
        <v>262</v>
      </c>
      <c r="D35" s="538"/>
      <c r="E35" s="539"/>
      <c r="F35" s="539"/>
      <c r="G35" s="539"/>
      <c r="H35" s="518"/>
      <c r="I35" s="539"/>
      <c r="J35" s="540"/>
      <c r="K35" s="532"/>
      <c r="L35" s="533"/>
      <c r="M35" s="533"/>
      <c r="N35" s="533"/>
      <c r="O35" s="533"/>
      <c r="P35" s="533"/>
      <c r="Q35" s="534"/>
      <c r="S35" s="178"/>
      <c r="T35" s="171"/>
      <c r="V35" s="2"/>
      <c r="X35" s="78"/>
    </row>
    <row r="36" spans="1:32" ht="12.75">
      <c r="A36" s="541">
        <v>17</v>
      </c>
      <c r="B36" s="527" t="s">
        <v>282</v>
      </c>
      <c r="C36" s="528" t="s">
        <v>285</v>
      </c>
      <c r="D36" s="541"/>
      <c r="E36" s="542"/>
      <c r="F36" s="542"/>
      <c r="G36" s="542"/>
      <c r="H36" s="543"/>
      <c r="I36" s="542"/>
      <c r="J36" s="544"/>
      <c r="K36" s="529"/>
      <c r="L36" s="530"/>
      <c r="M36" s="530">
        <v>2</v>
      </c>
      <c r="N36" s="530"/>
      <c r="O36" s="510">
        <f>Q36*25-K36*12-(SUM(L36:N36)*12)-2</f>
        <v>49</v>
      </c>
      <c r="P36" s="530" t="s">
        <v>7</v>
      </c>
      <c r="Q36" s="531">
        <v>3</v>
      </c>
      <c r="S36" s="178"/>
      <c r="T36">
        <f>IF(LEFT($C36,2)="DS",(SUM(D36:G36,K36:N36)*14),"")</f>
      </c>
      <c r="U36">
        <f>IF(LEFT($C36,2)="DC",(SUM(D36:G36,K36:N36)*12),"")</f>
        <v>24</v>
      </c>
      <c r="V36" s="2"/>
      <c r="X36" s="78">
        <f>SUM(S36:U36)</f>
        <v>24</v>
      </c>
      <c r="AF36">
        <v>24</v>
      </c>
    </row>
    <row r="37" spans="1:24" ht="13.5" thickBot="1">
      <c r="A37" s="541">
        <v>18</v>
      </c>
      <c r="B37" s="536" t="s">
        <v>280</v>
      </c>
      <c r="C37" s="537" t="s">
        <v>286</v>
      </c>
      <c r="D37" s="541"/>
      <c r="E37" s="542"/>
      <c r="F37" s="542"/>
      <c r="G37" s="542"/>
      <c r="H37" s="543"/>
      <c r="I37" s="542"/>
      <c r="J37" s="544"/>
      <c r="K37" s="538"/>
      <c r="L37" s="539"/>
      <c r="M37" s="539"/>
      <c r="N37" s="539"/>
      <c r="O37" s="518"/>
      <c r="P37" s="539"/>
      <c r="Q37" s="540"/>
      <c r="S37" s="178"/>
      <c r="V37" s="2"/>
      <c r="X37" s="78"/>
    </row>
    <row r="38" spans="1:32" ht="15.75" customHeight="1">
      <c r="A38" s="545">
        <v>19</v>
      </c>
      <c r="B38" s="546" t="s">
        <v>231</v>
      </c>
      <c r="C38" s="299" t="s">
        <v>287</v>
      </c>
      <c r="D38" s="487"/>
      <c r="E38" s="547"/>
      <c r="F38" s="511"/>
      <c r="G38" s="511"/>
      <c r="H38" s="511"/>
      <c r="I38" s="511"/>
      <c r="J38" s="523"/>
      <c r="K38" s="487"/>
      <c r="L38" s="511">
        <v>2</v>
      </c>
      <c r="M38" s="511"/>
      <c r="N38" s="511"/>
      <c r="O38" s="510">
        <f>Q38*25-K38*12-(SUM(L38:N38)*12)-2</f>
        <v>49</v>
      </c>
      <c r="P38" s="511" t="s">
        <v>7</v>
      </c>
      <c r="Q38" s="523">
        <v>3</v>
      </c>
      <c r="S38">
        <f>IF(LEFT($C38,2)="DF",(SUM(D38:G38,K38:N38)*14),"")</f>
      </c>
      <c r="T38">
        <f>IF(LEFT($C38,2)="DS",(SUM(D38:G38,K38:N38)*14),"")</f>
      </c>
      <c r="U38">
        <f>IF(LEFT($C38,2)="DC",(SUM(D38:G38,K38:N38)*12),"")</f>
        <v>24</v>
      </c>
      <c r="V38" s="2"/>
      <c r="X38" s="78">
        <f>SUM(S38:U38)</f>
        <v>24</v>
      </c>
      <c r="AE38">
        <v>12</v>
      </c>
      <c r="AF38">
        <v>12</v>
      </c>
    </row>
    <row r="39" spans="1:22" ht="13.5" thickBot="1">
      <c r="A39" s="336">
        <v>20</v>
      </c>
      <c r="B39" s="548" t="s">
        <v>72</v>
      </c>
      <c r="C39" s="549" t="s">
        <v>288</v>
      </c>
      <c r="D39" s="493"/>
      <c r="E39" s="550"/>
      <c r="F39" s="524"/>
      <c r="G39" s="524"/>
      <c r="H39" s="524"/>
      <c r="I39" s="524"/>
      <c r="J39" s="525"/>
      <c r="K39" s="499"/>
      <c r="L39" s="502"/>
      <c r="M39" s="502"/>
      <c r="N39" s="502"/>
      <c r="O39" s="518"/>
      <c r="P39" s="502"/>
      <c r="Q39" s="503"/>
      <c r="S39">
        <f>IF(LEFT($C39,2)="DF",(SUM(K39:N39)*14),"")</f>
      </c>
      <c r="T39">
        <f>IF(LEFT($C39,2)="DS",(SUM(K39:N39)*14),"")</f>
      </c>
      <c r="V39" s="78"/>
    </row>
    <row r="40" spans="1:17" ht="12.75">
      <c r="A40" s="506" t="s">
        <v>20</v>
      </c>
      <c r="B40" s="507"/>
      <c r="C40" s="507"/>
      <c r="D40" s="327"/>
      <c r="E40" s="328"/>
      <c r="F40" s="328">
        <f>SUM(F34:F39)</f>
        <v>2</v>
      </c>
      <c r="G40" s="328"/>
      <c r="H40" s="551">
        <f>SUM(H34:H38)</f>
        <v>45</v>
      </c>
      <c r="I40" s="510" t="s">
        <v>73</v>
      </c>
      <c r="J40" s="552">
        <f>SUM(J34:J39)</f>
        <v>3</v>
      </c>
      <c r="K40" s="553"/>
      <c r="L40" s="553">
        <f>SUM(L36:L39)</f>
        <v>2</v>
      </c>
      <c r="M40" s="553">
        <f>SUM(M36:M39)</f>
        <v>2</v>
      </c>
      <c r="N40" s="553"/>
      <c r="O40" s="554">
        <f>SUM(O38)</f>
        <v>49</v>
      </c>
      <c r="P40" s="554" t="s">
        <v>101</v>
      </c>
      <c r="Q40" s="555">
        <f>SUM(Q36:Q39)</f>
        <v>6</v>
      </c>
    </row>
    <row r="41" spans="1:30" ht="13.5" thickBot="1">
      <c r="A41" s="513"/>
      <c r="B41" s="514"/>
      <c r="C41" s="514"/>
      <c r="D41" s="515">
        <f>SUM(D40:G40)</f>
        <v>2</v>
      </c>
      <c r="E41" s="516"/>
      <c r="F41" s="516"/>
      <c r="G41" s="517"/>
      <c r="H41" s="518"/>
      <c r="I41" s="518"/>
      <c r="J41" s="519"/>
      <c r="K41" s="515">
        <f>SUM(K40:N40)</f>
        <v>4</v>
      </c>
      <c r="L41" s="516"/>
      <c r="M41" s="516"/>
      <c r="N41" s="517"/>
      <c r="O41" s="518"/>
      <c r="P41" s="518"/>
      <c r="Q41" s="519"/>
      <c r="S41" s="178" t="s">
        <v>171</v>
      </c>
      <c r="T41" s="171" t="s">
        <v>172</v>
      </c>
      <c r="U41" s="171" t="s">
        <v>173</v>
      </c>
      <c r="V41" s="171"/>
      <c r="W41" s="171" t="s">
        <v>174</v>
      </c>
      <c r="X41" s="171" t="s">
        <v>175</v>
      </c>
      <c r="Y41" s="50"/>
      <c r="Z41" s="82"/>
      <c r="AA41" s="82"/>
      <c r="AB41" s="82"/>
      <c r="AC41" s="82"/>
      <c r="AD41" s="82"/>
    </row>
    <row r="42" spans="1:32" ht="13.5" thickBot="1">
      <c r="A42" s="556"/>
      <c r="B42" s="556"/>
      <c r="C42" s="557"/>
      <c r="D42" s="558"/>
      <c r="E42" s="558"/>
      <c r="F42" s="558"/>
      <c r="G42" s="558"/>
      <c r="H42" s="558"/>
      <c r="I42" s="558"/>
      <c r="J42" s="558"/>
      <c r="K42" s="558"/>
      <c r="L42" s="558"/>
      <c r="M42" s="559"/>
      <c r="N42" s="559"/>
      <c r="O42" s="558"/>
      <c r="P42" s="558"/>
      <c r="Q42" s="558"/>
      <c r="S42" s="160">
        <f>SUM(S14:S41)</f>
        <v>294</v>
      </c>
      <c r="T42" s="160">
        <f>SUM(T14:T41)</f>
        <v>164</v>
      </c>
      <c r="U42" s="160">
        <f>SUM(U14:U41)</f>
        <v>158</v>
      </c>
      <c r="V42" s="160"/>
      <c r="W42" s="160">
        <f>SUM(W14:W41)</f>
        <v>540</v>
      </c>
      <c r="X42" s="160">
        <f>SUM(X14:X41)</f>
        <v>76</v>
      </c>
      <c r="Z42" s="160">
        <f>SUM(Z14:Z41)</f>
        <v>160</v>
      </c>
      <c r="AA42" s="160">
        <f aca="true" t="shared" si="8" ref="AA42:AF42">SUM(AA14:AA41)</f>
        <v>134</v>
      </c>
      <c r="AB42" s="160">
        <f t="shared" si="8"/>
        <v>60</v>
      </c>
      <c r="AC42" s="160">
        <f t="shared" si="8"/>
        <v>104</v>
      </c>
      <c r="AD42" s="160">
        <f t="shared" si="8"/>
        <v>0</v>
      </c>
      <c r="AE42" s="160">
        <f t="shared" si="8"/>
        <v>40</v>
      </c>
      <c r="AF42" s="160">
        <f t="shared" si="8"/>
        <v>118</v>
      </c>
    </row>
    <row r="43" spans="1:17" ht="12.75" customHeight="1">
      <c r="A43" s="560"/>
      <c r="B43" s="561" t="s">
        <v>21</v>
      </c>
      <c r="C43" s="562"/>
      <c r="D43" s="563">
        <f>D28+D40</f>
        <v>10</v>
      </c>
      <c r="E43" s="328">
        <f>E28+E40</f>
        <v>4</v>
      </c>
      <c r="F43" s="328">
        <f>F28+F40</f>
        <v>8</v>
      </c>
      <c r="G43" s="509">
        <f>G28+G40</f>
        <v>0</v>
      </c>
      <c r="H43" s="510">
        <f>H28+H40</f>
        <v>503</v>
      </c>
      <c r="I43" s="511" t="s">
        <v>89</v>
      </c>
      <c r="J43" s="512">
        <f aca="true" t="shared" si="9" ref="J43:O43">J28+J40</f>
        <v>30</v>
      </c>
      <c r="K43" s="563">
        <f t="shared" si="9"/>
        <v>9</v>
      </c>
      <c r="L43" s="328">
        <f t="shared" si="9"/>
        <v>4</v>
      </c>
      <c r="M43" s="328">
        <f>M28+M40</f>
        <v>9</v>
      </c>
      <c r="N43" s="509"/>
      <c r="O43" s="510">
        <f t="shared" si="9"/>
        <v>419</v>
      </c>
      <c r="P43" s="511" t="s">
        <v>263</v>
      </c>
      <c r="Q43" s="512">
        <f>Q28+Q40</f>
        <v>30</v>
      </c>
    </row>
    <row r="44" spans="1:19" ht="12.75" customHeight="1" thickBot="1">
      <c r="A44" s="560"/>
      <c r="B44" s="560"/>
      <c r="C44" s="562"/>
      <c r="D44" s="515">
        <f>SUM(D43:G43)</f>
        <v>22</v>
      </c>
      <c r="E44" s="516"/>
      <c r="F44" s="516"/>
      <c r="G44" s="517"/>
      <c r="H44" s="518"/>
      <c r="I44" s="502"/>
      <c r="J44" s="519"/>
      <c r="K44" s="515">
        <f>SUM(K43:N43)</f>
        <v>22</v>
      </c>
      <c r="L44" s="516"/>
      <c r="M44" s="516"/>
      <c r="N44" s="517"/>
      <c r="O44" s="518"/>
      <c r="P44" s="502"/>
      <c r="Q44" s="519"/>
      <c r="S44">
        <f>SUM(S42:U42)</f>
        <v>616</v>
      </c>
    </row>
    <row r="45" spans="1:17" ht="13.5" thickBot="1">
      <c r="A45" s="560"/>
      <c r="B45" s="560"/>
      <c r="C45" s="560"/>
      <c r="D45" s="521"/>
      <c r="E45" s="521"/>
      <c r="F45" s="521"/>
      <c r="G45" s="521"/>
      <c r="H45" s="520"/>
      <c r="I45" s="564"/>
      <c r="J45" s="521"/>
      <c r="K45" s="521"/>
      <c r="L45" s="521"/>
      <c r="M45" s="521"/>
      <c r="N45" s="521"/>
      <c r="O45" s="520"/>
      <c r="P45" s="564"/>
      <c r="Q45" s="521"/>
    </row>
    <row r="46" spans="1:17" ht="12.75" customHeight="1">
      <c r="A46" s="489" t="s">
        <v>11</v>
      </c>
      <c r="B46" s="489" t="s">
        <v>273</v>
      </c>
      <c r="C46" s="489" t="s">
        <v>274</v>
      </c>
      <c r="D46" s="490" t="s">
        <v>275</v>
      </c>
      <c r="E46" s="491"/>
      <c r="F46" s="491"/>
      <c r="G46" s="491"/>
      <c r="H46" s="491"/>
      <c r="I46" s="491"/>
      <c r="J46" s="492"/>
      <c r="K46" s="490" t="s">
        <v>276</v>
      </c>
      <c r="L46" s="491"/>
      <c r="M46" s="491"/>
      <c r="N46" s="491"/>
      <c r="O46" s="491"/>
      <c r="P46" s="491"/>
      <c r="Q46" s="492"/>
    </row>
    <row r="47" spans="1:17" ht="12.75" customHeight="1">
      <c r="A47" s="495"/>
      <c r="B47" s="495"/>
      <c r="C47" s="495"/>
      <c r="D47" s="493" t="s">
        <v>7</v>
      </c>
      <c r="E47" s="497" t="s">
        <v>8</v>
      </c>
      <c r="F47" s="524" t="s">
        <v>9</v>
      </c>
      <c r="G47" s="524" t="s">
        <v>10</v>
      </c>
      <c r="H47" s="524" t="s">
        <v>28</v>
      </c>
      <c r="I47" s="497" t="s">
        <v>12</v>
      </c>
      <c r="J47" s="525" t="s">
        <v>13</v>
      </c>
      <c r="K47" s="493" t="s">
        <v>7</v>
      </c>
      <c r="L47" s="524" t="s">
        <v>8</v>
      </c>
      <c r="M47" s="497" t="s">
        <v>9</v>
      </c>
      <c r="N47" s="524" t="s">
        <v>10</v>
      </c>
      <c r="O47" s="524" t="s">
        <v>28</v>
      </c>
      <c r="P47" s="497" t="s">
        <v>12</v>
      </c>
      <c r="Q47" s="525" t="s">
        <v>13</v>
      </c>
    </row>
    <row r="48" spans="1:17" ht="12.75" customHeight="1" thickBot="1">
      <c r="A48" s="501"/>
      <c r="B48" s="501"/>
      <c r="C48" s="501"/>
      <c r="D48" s="499"/>
      <c r="E48" s="565"/>
      <c r="F48" s="502"/>
      <c r="G48" s="502"/>
      <c r="H48" s="502"/>
      <c r="I48" s="502"/>
      <c r="J48" s="503"/>
      <c r="K48" s="499"/>
      <c r="L48" s="502"/>
      <c r="M48" s="565"/>
      <c r="N48" s="502"/>
      <c r="O48" s="502"/>
      <c r="P48" s="502"/>
      <c r="Q48" s="503"/>
    </row>
    <row r="49" spans="1:19" ht="12.75" customHeight="1">
      <c r="A49" s="566">
        <v>21</v>
      </c>
      <c r="B49" s="567" t="s">
        <v>277</v>
      </c>
      <c r="C49" s="654" t="s">
        <v>324</v>
      </c>
      <c r="D49" s="568">
        <v>2</v>
      </c>
      <c r="E49" s="569">
        <v>2</v>
      </c>
      <c r="F49" s="570"/>
      <c r="G49" s="570"/>
      <c r="H49" s="302">
        <f>J49*25-D49*14-(SUM(E49:G49)*14)-2</f>
        <v>67</v>
      </c>
      <c r="I49" s="570" t="s">
        <v>60</v>
      </c>
      <c r="J49" s="571">
        <v>5</v>
      </c>
      <c r="K49" s="324"/>
      <c r="L49" s="572"/>
      <c r="M49" s="572"/>
      <c r="N49" s="572"/>
      <c r="O49" s="572"/>
      <c r="P49" s="572"/>
      <c r="Q49" s="573"/>
      <c r="S49">
        <f>D49*14+E49*14</f>
        <v>56</v>
      </c>
    </row>
    <row r="50" spans="1:19" ht="12.75" customHeight="1" thickBot="1">
      <c r="A50" s="574">
        <v>22</v>
      </c>
      <c r="B50" s="575" t="s">
        <v>278</v>
      </c>
      <c r="C50" s="655" t="s">
        <v>325</v>
      </c>
      <c r="D50" s="576"/>
      <c r="E50" s="577"/>
      <c r="F50" s="577"/>
      <c r="G50" s="577"/>
      <c r="H50" s="577"/>
      <c r="I50" s="577"/>
      <c r="J50" s="578"/>
      <c r="K50" s="579">
        <v>2</v>
      </c>
      <c r="L50" s="580">
        <v>2</v>
      </c>
      <c r="M50" s="580"/>
      <c r="N50" s="580"/>
      <c r="O50" s="302">
        <f>Q50*25-K50*12-(SUM(L50:N50)*12)-2</f>
        <v>75</v>
      </c>
      <c r="P50" s="580" t="s">
        <v>60</v>
      </c>
      <c r="Q50" s="581">
        <v>5</v>
      </c>
      <c r="S50">
        <f>K50*12+L51*12</f>
        <v>48</v>
      </c>
    </row>
    <row r="51" spans="1:26" s="484" customFormat="1" ht="12.75">
      <c r="A51" s="582" t="s">
        <v>289</v>
      </c>
      <c r="B51" s="583"/>
      <c r="C51" s="583"/>
      <c r="D51" s="584">
        <f>SUM(D49:D50)</f>
        <v>2</v>
      </c>
      <c r="E51" s="585">
        <f>SUM(E49:E50)</f>
        <v>2</v>
      </c>
      <c r="F51" s="585"/>
      <c r="G51" s="585"/>
      <c r="H51" s="586">
        <v>67</v>
      </c>
      <c r="I51" s="587" t="s">
        <v>290</v>
      </c>
      <c r="J51" s="588">
        <f>SUM(J49:J50)</f>
        <v>5</v>
      </c>
      <c r="K51" s="584">
        <f>SUM(K49:K50)</f>
        <v>2</v>
      </c>
      <c r="L51" s="585">
        <f>SUM(L49:L50)</f>
        <v>2</v>
      </c>
      <c r="M51" s="585"/>
      <c r="N51" s="585"/>
      <c r="O51" s="586">
        <v>75</v>
      </c>
      <c r="P51" s="587" t="s">
        <v>290</v>
      </c>
      <c r="Q51" s="588">
        <f>SUM(Q49:Q50)</f>
        <v>5</v>
      </c>
      <c r="R51" s="485"/>
      <c r="S51" s="485"/>
      <c r="T51" s="485"/>
      <c r="U51" s="485"/>
      <c r="V51" s="485"/>
      <c r="W51" s="485"/>
      <c r="X51" s="485"/>
      <c r="Y51" s="485"/>
      <c r="Z51" s="485"/>
    </row>
    <row r="52" spans="1:31" s="484" customFormat="1" ht="13.5" thickBot="1">
      <c r="A52" s="589"/>
      <c r="B52" s="590"/>
      <c r="C52" s="590"/>
      <c r="D52" s="591">
        <f>SUM(D51:G51)</f>
        <v>4</v>
      </c>
      <c r="E52" s="592"/>
      <c r="F52" s="592"/>
      <c r="G52" s="593"/>
      <c r="H52" s="594"/>
      <c r="I52" s="595"/>
      <c r="J52" s="596"/>
      <c r="K52" s="591">
        <f>SUM(K51:N51)</f>
        <v>4</v>
      </c>
      <c r="L52" s="592"/>
      <c r="M52" s="592"/>
      <c r="N52" s="593"/>
      <c r="O52" s="594"/>
      <c r="P52" s="595"/>
      <c r="Q52" s="596"/>
      <c r="R52" s="485"/>
      <c r="S52" s="486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</row>
    <row r="53" spans="1:17" ht="12.75" customHeight="1">
      <c r="A53" s="85"/>
      <c r="B53" s="85"/>
      <c r="C53" s="85"/>
      <c r="D53" s="76"/>
      <c r="E53" s="76"/>
      <c r="F53" s="76"/>
      <c r="G53" s="76"/>
      <c r="H53" s="75"/>
      <c r="I53" s="98"/>
      <c r="J53" s="76"/>
      <c r="K53" s="76"/>
      <c r="L53" s="76"/>
      <c r="M53" s="76"/>
      <c r="N53" s="76"/>
      <c r="O53" s="75"/>
      <c r="P53" s="98"/>
      <c r="Q53" s="76"/>
    </row>
    <row r="54" spans="1:17" ht="12.75" customHeight="1">
      <c r="A54" s="85"/>
      <c r="B54" s="384" t="s">
        <v>192</v>
      </c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</row>
    <row r="55" spans="1:17" ht="24" customHeight="1">
      <c r="A55" s="45"/>
      <c r="B55" s="483" t="s">
        <v>254</v>
      </c>
      <c r="C55" s="483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</row>
    <row r="56" spans="1:17" ht="12.75">
      <c r="A56" s="45"/>
      <c r="B56" s="89"/>
      <c r="C56" s="90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 ht="12.75">
      <c r="A57" s="45"/>
      <c r="B57" s="679"/>
      <c r="C57" s="681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ht="12.75">
      <c r="A58" s="45"/>
      <c r="B58" s="680"/>
      <c r="C58" s="681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 ht="12.75">
      <c r="A59" s="45"/>
      <c r="B59" s="89"/>
      <c r="C59" s="90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 ht="12.75">
      <c r="A60" s="45"/>
      <c r="B60" s="89"/>
      <c r="C60" s="90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30" s="78" customFormat="1" ht="12.75">
      <c r="A61" s="388"/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43"/>
      <c r="T61"/>
      <c r="U61"/>
      <c r="V61"/>
      <c r="X61"/>
      <c r="Y61" s="2"/>
      <c r="Z61"/>
      <c r="AB61"/>
      <c r="AC61"/>
      <c r="AD61"/>
    </row>
    <row r="62" spans="1:17" ht="12.75">
      <c r="A62" s="91"/>
      <c r="B62" s="91"/>
      <c r="C62" s="91"/>
      <c r="D62" s="91"/>
      <c r="E62" s="91"/>
      <c r="F62" s="91"/>
      <c r="G62" s="91"/>
      <c r="H62" s="91"/>
      <c r="I62" s="91"/>
      <c r="L62" s="93"/>
      <c r="O62" s="42"/>
      <c r="P62" s="42"/>
      <c r="Q62" s="42"/>
    </row>
    <row r="63" spans="1:30" s="81" customFormat="1" ht="12.75">
      <c r="A63" s="94"/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96"/>
      <c r="T63"/>
      <c r="U63"/>
      <c r="V63"/>
      <c r="X63"/>
      <c r="Y63" s="2"/>
      <c r="Z63"/>
      <c r="AB63"/>
      <c r="AC63"/>
      <c r="AD63"/>
    </row>
    <row r="64" spans="1:30" s="81" customFormat="1" ht="12.75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6"/>
      <c r="T64"/>
      <c r="U64"/>
      <c r="V64"/>
      <c r="X64"/>
      <c r="Y64" s="2"/>
      <c r="Z64"/>
      <c r="AB64"/>
      <c r="AC64"/>
      <c r="AD64"/>
    </row>
    <row r="66" spans="1:30" s="78" customFormat="1" ht="12.75">
      <c r="A66" s="388"/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43"/>
      <c r="T66"/>
      <c r="U66"/>
      <c r="V66"/>
      <c r="X66"/>
      <c r="Y66" s="2"/>
      <c r="Z66"/>
      <c r="AB66"/>
      <c r="AC66"/>
      <c r="AD66"/>
    </row>
    <row r="67" spans="1:17" ht="12.75">
      <c r="A67" s="91"/>
      <c r="B67" s="91"/>
      <c r="C67" s="91"/>
      <c r="D67" s="91"/>
      <c r="E67" s="91"/>
      <c r="F67" s="91"/>
      <c r="G67" s="91"/>
      <c r="H67" s="91"/>
      <c r="I67" s="91"/>
      <c r="L67" s="93"/>
      <c r="O67" s="42"/>
      <c r="P67" s="42"/>
      <c r="Q67" s="42"/>
    </row>
    <row r="68" spans="1:30" s="81" customFormat="1" ht="12.75">
      <c r="A68" s="94"/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96"/>
      <c r="T68"/>
      <c r="U68"/>
      <c r="V68"/>
      <c r="X68"/>
      <c r="Y68" s="2"/>
      <c r="Z68"/>
      <c r="AB68"/>
      <c r="AC68"/>
      <c r="AD68"/>
    </row>
    <row r="69" spans="1:30" s="81" customFormat="1" ht="12.75">
      <c r="A69" s="94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6"/>
      <c r="T69"/>
      <c r="U69"/>
      <c r="V69"/>
      <c r="X69"/>
      <c r="Y69" s="2"/>
      <c r="Z69"/>
      <c r="AB69"/>
      <c r="AC69"/>
      <c r="AD69"/>
    </row>
    <row r="71" spans="1:30" s="78" customFormat="1" ht="12.75">
      <c r="A71" s="388"/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43"/>
      <c r="T71"/>
      <c r="U71"/>
      <c r="V71"/>
      <c r="X71"/>
      <c r="Y71" s="2"/>
      <c r="Z71"/>
      <c r="AB71"/>
      <c r="AC71"/>
      <c r="AD71"/>
    </row>
    <row r="72" spans="1:17" ht="12.75">
      <c r="A72" s="91"/>
      <c r="B72" s="91"/>
      <c r="C72" s="91"/>
      <c r="D72" s="91"/>
      <c r="E72" s="91"/>
      <c r="F72" s="91"/>
      <c r="G72" s="91"/>
      <c r="H72" s="91"/>
      <c r="I72" s="91"/>
      <c r="L72" s="93"/>
      <c r="O72" s="42"/>
      <c r="P72" s="42"/>
      <c r="Q72" s="42"/>
    </row>
    <row r="73" spans="1:30" s="81" customFormat="1" ht="12.75">
      <c r="A73" s="94"/>
      <c r="B73" s="373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96"/>
      <c r="T73"/>
      <c r="U73"/>
      <c r="V73"/>
      <c r="X73"/>
      <c r="Y73" s="2"/>
      <c r="Z73"/>
      <c r="AB73"/>
      <c r="AC73"/>
      <c r="AD73"/>
    </row>
    <row r="74" spans="24:30" ht="12.75">
      <c r="X74" s="81"/>
      <c r="Y74" s="179"/>
      <c r="Z74" s="81"/>
      <c r="AB74" s="81"/>
      <c r="AC74" s="81"/>
      <c r="AD74" s="81"/>
    </row>
  </sheetData>
  <sheetProtection/>
  <mergeCells count="144">
    <mergeCell ref="Q51:Q52"/>
    <mergeCell ref="D52:G52"/>
    <mergeCell ref="K52:N52"/>
    <mergeCell ref="O47:O48"/>
    <mergeCell ref="P47:P48"/>
    <mergeCell ref="Q47:Q48"/>
    <mergeCell ref="A51:C52"/>
    <mergeCell ref="H51:H52"/>
    <mergeCell ref="I51:I52"/>
    <mergeCell ref="J51:J52"/>
    <mergeCell ref="O51:O52"/>
    <mergeCell ref="P51:P52"/>
    <mergeCell ref="I47:I48"/>
    <mergeCell ref="J47:J48"/>
    <mergeCell ref="K47:K48"/>
    <mergeCell ref="L47:L48"/>
    <mergeCell ref="M47:M48"/>
    <mergeCell ref="N47:N48"/>
    <mergeCell ref="A46:A48"/>
    <mergeCell ref="B46:B48"/>
    <mergeCell ref="C46:C48"/>
    <mergeCell ref="D46:J46"/>
    <mergeCell ref="K46:Q46"/>
    <mergeCell ref="D47:D48"/>
    <mergeCell ref="E47:E48"/>
    <mergeCell ref="F47:F48"/>
    <mergeCell ref="G47:G48"/>
    <mergeCell ref="H47:H48"/>
    <mergeCell ref="M36:M37"/>
    <mergeCell ref="N36:N37"/>
    <mergeCell ref="O36:O37"/>
    <mergeCell ref="P36:P37"/>
    <mergeCell ref="Q36:Q37"/>
    <mergeCell ref="G34:G35"/>
    <mergeCell ref="H34:H35"/>
    <mergeCell ref="I34:I35"/>
    <mergeCell ref="J34:J35"/>
    <mergeCell ref="K36:K37"/>
    <mergeCell ref="L36:L37"/>
    <mergeCell ref="A31:A33"/>
    <mergeCell ref="N38:N39"/>
    <mergeCell ref="O38:O39"/>
    <mergeCell ref="E38:E39"/>
    <mergeCell ref="G32:G33"/>
    <mergeCell ref="K31:Q31"/>
    <mergeCell ref="D31:J31"/>
    <mergeCell ref="D34:D35"/>
    <mergeCell ref="E34:E35"/>
    <mergeCell ref="F34:F35"/>
    <mergeCell ref="O12:O13"/>
    <mergeCell ref="M12:M13"/>
    <mergeCell ref="K12:K13"/>
    <mergeCell ref="N12:N13"/>
    <mergeCell ref="D12:D13"/>
    <mergeCell ref="H32:H33"/>
    <mergeCell ref="H28:H29"/>
    <mergeCell ref="I28:I29"/>
    <mergeCell ref="A11:A13"/>
    <mergeCell ref="E12:E13"/>
    <mergeCell ref="P12:P13"/>
    <mergeCell ref="G12:G13"/>
    <mergeCell ref="O28:O29"/>
    <mergeCell ref="P28:P29"/>
    <mergeCell ref="K11:Q11"/>
    <mergeCell ref="A61:C61"/>
    <mergeCell ref="Q28:Q29"/>
    <mergeCell ref="D29:G29"/>
    <mergeCell ref="K29:N29"/>
    <mergeCell ref="J28:J29"/>
    <mergeCell ref="D11:J11"/>
    <mergeCell ref="F12:F13"/>
    <mergeCell ref="H12:H13"/>
    <mergeCell ref="I12:I13"/>
    <mergeCell ref="A28:C29"/>
    <mergeCell ref="N32:N33"/>
    <mergeCell ref="B11:B13"/>
    <mergeCell ref="C11:C13"/>
    <mergeCell ref="A66:C66"/>
    <mergeCell ref="D66:P66"/>
    <mergeCell ref="B63:C63"/>
    <mergeCell ref="D63:P63"/>
    <mergeCell ref="A40:C41"/>
    <mergeCell ref="B31:B33"/>
    <mergeCell ref="C31:C33"/>
    <mergeCell ref="D44:G44"/>
    <mergeCell ref="I43:I44"/>
    <mergeCell ref="D61:P61"/>
    <mergeCell ref="K41:N41"/>
    <mergeCell ref="Q12:Q13"/>
    <mergeCell ref="J12:J13"/>
    <mergeCell ref="Q43:Q44"/>
    <mergeCell ref="P40:P41"/>
    <mergeCell ref="O32:O33"/>
    <mergeCell ref="L32:L33"/>
    <mergeCell ref="D41:G41"/>
    <mergeCell ref="J40:J41"/>
    <mergeCell ref="A71:C71"/>
    <mergeCell ref="D71:P71"/>
    <mergeCell ref="B54:Q54"/>
    <mergeCell ref="B68:C68"/>
    <mergeCell ref="O43:O44"/>
    <mergeCell ref="Q40:Q41"/>
    <mergeCell ref="H43:H44"/>
    <mergeCell ref="P43:P44"/>
    <mergeCell ref="D68:P68"/>
    <mergeCell ref="H40:H41"/>
    <mergeCell ref="Q38:Q39"/>
    <mergeCell ref="O40:O41"/>
    <mergeCell ref="D38:D39"/>
    <mergeCell ref="B55:Q55"/>
    <mergeCell ref="K44:N44"/>
    <mergeCell ref="J38:J39"/>
    <mergeCell ref="L38:L39"/>
    <mergeCell ref="M38:M39"/>
    <mergeCell ref="A10:Q10"/>
    <mergeCell ref="A9:G9"/>
    <mergeCell ref="I32:I33"/>
    <mergeCell ref="P32:P33"/>
    <mergeCell ref="F38:F39"/>
    <mergeCell ref="G38:G39"/>
    <mergeCell ref="J32:J33"/>
    <mergeCell ref="Q32:Q33"/>
    <mergeCell ref="H38:H39"/>
    <mergeCell ref="M32:M33"/>
    <mergeCell ref="B73:C73"/>
    <mergeCell ref="D73:P73"/>
    <mergeCell ref="K32:K33"/>
    <mergeCell ref="F32:F33"/>
    <mergeCell ref="P38:P39"/>
    <mergeCell ref="L12:L13"/>
    <mergeCell ref="K38:K39"/>
    <mergeCell ref="J43:J44"/>
    <mergeCell ref="I40:I41"/>
    <mergeCell ref="K27:O27"/>
    <mergeCell ref="A1:C1"/>
    <mergeCell ref="A2:C2"/>
    <mergeCell ref="D32:D33"/>
    <mergeCell ref="E32:E33"/>
    <mergeCell ref="A8:G8"/>
    <mergeCell ref="I38:I39"/>
    <mergeCell ref="A3:Q3"/>
    <mergeCell ref="A5:M5"/>
    <mergeCell ref="A6:G6"/>
    <mergeCell ref="A7:G7"/>
  </mergeCells>
  <printOptions/>
  <pageMargins left="0.96" right="0.15" top="0.4724409448818898" bottom="0.4724409448818898" header="0" footer="0"/>
  <pageSetup horizontalDpi="600" verticalDpi="600" orientation="portrait" paperSize="9" scale="86" r:id="rId4"/>
  <headerFooter alignWithMargins="0">
    <oddFooter>&amp;R2/7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2"/>
  <sheetViews>
    <sheetView view="pageBreakPreview" zoomScale="145" zoomScaleSheetLayoutView="145" zoomScalePageLayoutView="0" workbookViewId="0" topLeftCell="A10">
      <selection activeCell="W49" sqref="W49"/>
    </sheetView>
  </sheetViews>
  <sheetFormatPr defaultColWidth="9.140625" defaultRowHeight="12.75"/>
  <cols>
    <col min="1" max="1" width="3.28125" style="40" customWidth="1"/>
    <col min="2" max="2" width="30.7109375" style="40" customWidth="1"/>
    <col min="3" max="3" width="12.28125" style="40" customWidth="1"/>
    <col min="4" max="6" width="2.421875" style="40" customWidth="1"/>
    <col min="7" max="7" width="2.28125" style="40" customWidth="1"/>
    <col min="8" max="8" width="3.57421875" style="40" bestFit="1" customWidth="1"/>
    <col min="9" max="9" width="7.28125" style="40" customWidth="1"/>
    <col min="10" max="10" width="5.7109375" style="40" customWidth="1"/>
    <col min="11" max="14" width="2.7109375" style="40" customWidth="1"/>
    <col min="15" max="15" width="4.00390625" style="40" customWidth="1"/>
    <col min="16" max="16" width="7.28125" style="40" customWidth="1"/>
    <col min="17" max="17" width="5.7109375" style="40" customWidth="1"/>
    <col min="18" max="18" width="3.8515625" style="0" customWidth="1"/>
    <col min="19" max="21" width="4.00390625" style="0" customWidth="1"/>
    <col min="22" max="22" width="3.7109375" style="0" customWidth="1"/>
    <col min="23" max="24" width="4.7109375" style="0" customWidth="1"/>
  </cols>
  <sheetData>
    <row r="1" spans="1:3" ht="12.75">
      <c r="A1" s="363" t="s">
        <v>18</v>
      </c>
      <c r="B1" s="363"/>
      <c r="C1" s="363"/>
    </row>
    <row r="2" spans="1:3" ht="12.75">
      <c r="A2" s="363" t="s">
        <v>51</v>
      </c>
      <c r="B2" s="363"/>
      <c r="C2" s="363"/>
    </row>
    <row r="3" spans="1:17" ht="24.75" customHeight="1">
      <c r="A3" s="371" t="s">
        <v>17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</row>
    <row r="4" spans="3:17" ht="12.75"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2.75">
      <c r="A5" s="372" t="s">
        <v>52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43"/>
      <c r="O5" s="43"/>
      <c r="P5" s="43"/>
      <c r="Q5" s="43"/>
    </row>
    <row r="6" spans="1:40" ht="12.75">
      <c r="A6" s="372" t="s">
        <v>53</v>
      </c>
      <c r="B6" s="372"/>
      <c r="C6" s="372"/>
      <c r="D6" s="372"/>
      <c r="E6" s="372"/>
      <c r="F6" s="372"/>
      <c r="G6" s="372"/>
      <c r="H6" s="44"/>
      <c r="I6" s="44"/>
      <c r="J6" s="42"/>
      <c r="K6" s="42"/>
      <c r="L6" s="42"/>
      <c r="M6" s="44"/>
      <c r="N6" s="44"/>
      <c r="O6" s="44"/>
      <c r="P6" s="44"/>
      <c r="Q6" s="44"/>
      <c r="R6" s="12"/>
      <c r="S6" s="12"/>
      <c r="T6" s="12"/>
      <c r="U6" s="12"/>
      <c r="V6" s="12"/>
      <c r="W6" s="12"/>
      <c r="X6" s="12"/>
      <c r="Y6" s="12"/>
      <c r="Z6" s="12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7"/>
      <c r="AL6" s="7"/>
      <c r="AM6" s="6"/>
      <c r="AN6" s="6"/>
    </row>
    <row r="7" spans="1:17" ht="12.75">
      <c r="A7" s="368" t="s">
        <v>54</v>
      </c>
      <c r="B7" s="368"/>
      <c r="C7" s="368"/>
      <c r="D7" s="368"/>
      <c r="E7" s="368"/>
      <c r="F7" s="368"/>
      <c r="G7" s="368"/>
      <c r="H7" s="42"/>
      <c r="I7" s="42"/>
      <c r="J7" s="42"/>
      <c r="K7" s="46"/>
      <c r="L7" s="46"/>
      <c r="M7" s="46"/>
      <c r="N7" s="46"/>
      <c r="O7" s="46"/>
      <c r="P7" s="46"/>
      <c r="Q7" s="46"/>
    </row>
    <row r="8" spans="1:17" ht="12.75">
      <c r="A8" s="368" t="s">
        <v>55</v>
      </c>
      <c r="B8" s="368"/>
      <c r="C8" s="368"/>
      <c r="D8" s="368"/>
      <c r="E8" s="368"/>
      <c r="F8" s="368"/>
      <c r="G8" s="36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2.75">
      <c r="A9" s="372" t="s">
        <v>246</v>
      </c>
      <c r="B9" s="372"/>
      <c r="C9" s="372"/>
      <c r="D9" s="372"/>
      <c r="E9" s="372"/>
      <c r="F9" s="372"/>
      <c r="G9" s="372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33" customHeight="1" thickBot="1">
      <c r="A10" s="379" t="s">
        <v>49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</row>
    <row r="11" spans="1:17" ht="12.75">
      <c r="A11" s="374" t="s">
        <v>11</v>
      </c>
      <c r="B11" s="369" t="s">
        <v>6</v>
      </c>
      <c r="C11" s="422" t="s">
        <v>56</v>
      </c>
      <c r="D11" s="397" t="s">
        <v>78</v>
      </c>
      <c r="E11" s="398"/>
      <c r="F11" s="398"/>
      <c r="G11" s="398"/>
      <c r="H11" s="398"/>
      <c r="I11" s="398"/>
      <c r="J11" s="399"/>
      <c r="K11" s="397" t="s">
        <v>79</v>
      </c>
      <c r="L11" s="398"/>
      <c r="M11" s="398"/>
      <c r="N11" s="398"/>
      <c r="O11" s="398"/>
      <c r="P11" s="398"/>
      <c r="Q11" s="399"/>
    </row>
    <row r="12" spans="1:31" ht="12.75">
      <c r="A12" s="383"/>
      <c r="B12" s="370"/>
      <c r="C12" s="423"/>
      <c r="D12" s="364" t="s">
        <v>7</v>
      </c>
      <c r="E12" s="366" t="s">
        <v>8</v>
      </c>
      <c r="F12" s="366" t="s">
        <v>9</v>
      </c>
      <c r="G12" s="366" t="s">
        <v>10</v>
      </c>
      <c r="H12" s="366" t="s">
        <v>28</v>
      </c>
      <c r="I12" s="366" t="s">
        <v>12</v>
      </c>
      <c r="J12" s="380" t="s">
        <v>13</v>
      </c>
      <c r="K12" s="364" t="s">
        <v>7</v>
      </c>
      <c r="L12" s="366" t="s">
        <v>8</v>
      </c>
      <c r="M12" s="366" t="s">
        <v>9</v>
      </c>
      <c r="N12" s="366" t="s">
        <v>10</v>
      </c>
      <c r="O12" s="366" t="s">
        <v>28</v>
      </c>
      <c r="P12" s="366" t="s">
        <v>12</v>
      </c>
      <c r="Q12" s="380" t="s">
        <v>13</v>
      </c>
      <c r="Z12" s="272" t="s">
        <v>171</v>
      </c>
      <c r="AB12" s="272" t="s">
        <v>172</v>
      </c>
      <c r="AD12" s="39"/>
      <c r="AE12" s="272" t="s">
        <v>173</v>
      </c>
    </row>
    <row r="13" spans="1:32" ht="13.5" thickBot="1">
      <c r="A13" s="365"/>
      <c r="B13" s="367"/>
      <c r="C13" s="425"/>
      <c r="D13" s="383"/>
      <c r="E13" s="370"/>
      <c r="F13" s="370"/>
      <c r="G13" s="370"/>
      <c r="H13" s="370"/>
      <c r="I13" s="370"/>
      <c r="J13" s="387"/>
      <c r="K13" s="365"/>
      <c r="L13" s="367"/>
      <c r="M13" s="367"/>
      <c r="N13" s="367"/>
      <c r="O13" s="367"/>
      <c r="P13" s="367"/>
      <c r="Q13" s="381"/>
      <c r="S13" s="178" t="s">
        <v>171</v>
      </c>
      <c r="T13" s="171" t="s">
        <v>172</v>
      </c>
      <c r="U13" s="171" t="s">
        <v>173</v>
      </c>
      <c r="V13" s="171"/>
      <c r="W13" s="171" t="s">
        <v>174</v>
      </c>
      <c r="X13" s="171" t="s">
        <v>175</v>
      </c>
      <c r="Z13" s="353" t="s">
        <v>7</v>
      </c>
      <c r="AA13" s="169" t="s">
        <v>269</v>
      </c>
      <c r="AB13" s="353" t="s">
        <v>7</v>
      </c>
      <c r="AC13" s="169" t="s">
        <v>269</v>
      </c>
      <c r="AD13" s="50"/>
      <c r="AE13" s="353" t="s">
        <v>7</v>
      </c>
      <c r="AF13" s="169" t="s">
        <v>269</v>
      </c>
    </row>
    <row r="14" spans="1:27" ht="12.75">
      <c r="A14" s="291">
        <v>1</v>
      </c>
      <c r="B14" s="191" t="s">
        <v>80</v>
      </c>
      <c r="C14" s="55" t="s">
        <v>184</v>
      </c>
      <c r="D14" s="99">
        <v>2</v>
      </c>
      <c r="E14" s="174"/>
      <c r="F14" s="174">
        <v>2</v>
      </c>
      <c r="G14" s="174"/>
      <c r="H14" s="174">
        <f>J14*25-D14*14-(SUM(E14:G14)*14)-2</f>
        <v>67</v>
      </c>
      <c r="I14" s="174" t="s">
        <v>60</v>
      </c>
      <c r="J14" s="218">
        <v>5</v>
      </c>
      <c r="K14" s="220"/>
      <c r="L14" s="172"/>
      <c r="M14" s="172"/>
      <c r="N14" s="172"/>
      <c r="O14" s="172"/>
      <c r="P14" s="172"/>
      <c r="Q14" s="173"/>
      <c r="S14">
        <f aca="true" t="shared" si="0" ref="S14:S19">IF(LEFT($C14,2)="DF",(SUM(D14:G14,K14:N14)*14),"")</f>
        <v>56</v>
      </c>
      <c r="T14">
        <f>IF(LEFT($C14,2)="DS",(SUM(D14:G14,K14:N14)*14),"")</f>
      </c>
      <c r="U14">
        <f aca="true" t="shared" si="1" ref="U14:U21">IF(LEFT($C14,2)="DC",(SUM(D14:G14,K14:N14)*14),"")</f>
      </c>
      <c r="V14" s="59"/>
      <c r="W14">
        <f>SUM(S14:V14)</f>
        <v>56</v>
      </c>
      <c r="Z14">
        <f>D14*14</f>
        <v>28</v>
      </c>
      <c r="AA14">
        <f>F14*14</f>
        <v>28</v>
      </c>
    </row>
    <row r="15" spans="1:27" ht="12.75">
      <c r="A15" s="346">
        <v>2</v>
      </c>
      <c r="B15" s="189" t="s">
        <v>85</v>
      </c>
      <c r="C15" s="55" t="s">
        <v>187</v>
      </c>
      <c r="D15" s="52">
        <v>2</v>
      </c>
      <c r="E15" s="53"/>
      <c r="F15" s="53">
        <v>1</v>
      </c>
      <c r="G15" s="54"/>
      <c r="H15" s="54">
        <f>J15*25-D15*14-(SUM(E15:G15)*14)-2</f>
        <v>81</v>
      </c>
      <c r="I15" s="53" t="s">
        <v>60</v>
      </c>
      <c r="J15" s="55">
        <v>5</v>
      </c>
      <c r="K15" s="221"/>
      <c r="L15" s="65"/>
      <c r="M15" s="65"/>
      <c r="N15" s="65"/>
      <c r="O15" s="65"/>
      <c r="P15" s="65"/>
      <c r="Q15" s="67"/>
      <c r="S15">
        <f t="shared" si="0"/>
        <v>42</v>
      </c>
      <c r="T15">
        <f>IF(LEFT($C15,2)="DS",(SUM(D15:G15,K15:N15)*14),"")</f>
      </c>
      <c r="U15">
        <f t="shared" si="1"/>
      </c>
      <c r="V15" s="2"/>
      <c r="W15">
        <f aca="true" t="shared" si="2" ref="W15:W23">SUM(S15:V15)</f>
        <v>42</v>
      </c>
      <c r="Z15">
        <f>D15*14</f>
        <v>28</v>
      </c>
      <c r="AA15">
        <f>F15*14</f>
        <v>14</v>
      </c>
    </row>
    <row r="16" spans="1:29" ht="12.75">
      <c r="A16" s="346">
        <v>3</v>
      </c>
      <c r="B16" s="190" t="s">
        <v>82</v>
      </c>
      <c r="C16" s="55" t="s">
        <v>111</v>
      </c>
      <c r="D16" s="61">
        <v>2</v>
      </c>
      <c r="E16" s="54"/>
      <c r="F16" s="54">
        <v>1</v>
      </c>
      <c r="G16" s="54"/>
      <c r="H16" s="54">
        <f>J16*25-D16*14-(SUM(E16:G16)*14)-2</f>
        <v>56</v>
      </c>
      <c r="I16" s="54" t="s">
        <v>60</v>
      </c>
      <c r="J16" s="219">
        <v>4</v>
      </c>
      <c r="K16" s="221"/>
      <c r="L16" s="65"/>
      <c r="M16" s="65"/>
      <c r="N16" s="65"/>
      <c r="O16" s="65"/>
      <c r="P16" s="65"/>
      <c r="Q16" s="67"/>
      <c r="S16">
        <f t="shared" si="0"/>
      </c>
      <c r="T16">
        <f>IF(LEFT($C16,2)="DS",(SUM(D16:G16,K16:N16)*14),"")</f>
        <v>42</v>
      </c>
      <c r="U16">
        <f t="shared" si="1"/>
      </c>
      <c r="V16" s="2"/>
      <c r="W16">
        <f t="shared" si="2"/>
        <v>42</v>
      </c>
      <c r="AB16">
        <f>D16*14</f>
        <v>28</v>
      </c>
      <c r="AC16">
        <f>F16*14</f>
        <v>14</v>
      </c>
    </row>
    <row r="17" spans="1:27" ht="12.75">
      <c r="A17" s="346">
        <v>4</v>
      </c>
      <c r="B17" s="191" t="s">
        <v>83</v>
      </c>
      <c r="C17" s="55" t="s">
        <v>112</v>
      </c>
      <c r="D17" s="52">
        <v>2</v>
      </c>
      <c r="E17" s="53"/>
      <c r="F17" s="53">
        <v>1</v>
      </c>
      <c r="G17" s="54"/>
      <c r="H17" s="54">
        <f>J17*25-D17*14-(SUM(E17:G17)*14)-2</f>
        <v>56</v>
      </c>
      <c r="I17" s="53" t="s">
        <v>60</v>
      </c>
      <c r="J17" s="55">
        <v>4</v>
      </c>
      <c r="K17" s="221"/>
      <c r="L17" s="65"/>
      <c r="M17" s="65"/>
      <c r="N17" s="65"/>
      <c r="O17" s="65"/>
      <c r="P17" s="65"/>
      <c r="Q17" s="67"/>
      <c r="S17">
        <f t="shared" si="0"/>
        <v>42</v>
      </c>
      <c r="T17">
        <f>IF(LEFT($C17,2)="DS",(SUM(D17:G17,K17:N17)*14),"")</f>
      </c>
      <c r="U17">
        <f t="shared" si="1"/>
      </c>
      <c r="V17" s="2"/>
      <c r="W17">
        <f t="shared" si="2"/>
        <v>42</v>
      </c>
      <c r="Z17">
        <f>D17*14</f>
        <v>28</v>
      </c>
      <c r="AA17">
        <f>F17*14</f>
        <v>14</v>
      </c>
    </row>
    <row r="18" spans="1:29" ht="12.75">
      <c r="A18" s="346">
        <v>5</v>
      </c>
      <c r="B18" s="191" t="s">
        <v>81</v>
      </c>
      <c r="C18" s="55" t="s">
        <v>188</v>
      </c>
      <c r="D18" s="52">
        <v>2</v>
      </c>
      <c r="E18" s="53"/>
      <c r="F18" s="53">
        <v>2</v>
      </c>
      <c r="G18" s="54"/>
      <c r="H18" s="54">
        <f>J18*25-D18*14-(SUM(E18:G18)*14)-2</f>
        <v>67</v>
      </c>
      <c r="I18" s="53" t="s">
        <v>60</v>
      </c>
      <c r="J18" s="55">
        <v>5</v>
      </c>
      <c r="K18" s="221"/>
      <c r="L18" s="65"/>
      <c r="M18" s="65"/>
      <c r="N18" s="65"/>
      <c r="O18" s="65"/>
      <c r="P18" s="65"/>
      <c r="Q18" s="67"/>
      <c r="S18">
        <f t="shared" si="0"/>
      </c>
      <c r="T18">
        <f>IF(LEFT($C18,2)="DS",(SUM(D18:G18,K18:N18)*14),"")</f>
        <v>56</v>
      </c>
      <c r="U18">
        <f t="shared" si="1"/>
      </c>
      <c r="V18" s="2"/>
      <c r="W18">
        <f t="shared" si="2"/>
        <v>56</v>
      </c>
      <c r="AB18">
        <f>D18*14</f>
        <v>28</v>
      </c>
      <c r="AC18">
        <f>F18*14</f>
        <v>28</v>
      </c>
    </row>
    <row r="19" spans="1:29" ht="12.75">
      <c r="A19" s="346">
        <v>6</v>
      </c>
      <c r="B19" s="191" t="s">
        <v>84</v>
      </c>
      <c r="C19" s="55" t="s">
        <v>299</v>
      </c>
      <c r="D19" s="52"/>
      <c r="E19" s="53"/>
      <c r="F19" s="53"/>
      <c r="G19" s="54"/>
      <c r="H19" s="53"/>
      <c r="I19" s="53"/>
      <c r="J19" s="55"/>
      <c r="K19" s="276">
        <v>2</v>
      </c>
      <c r="L19" s="64"/>
      <c r="M19" s="64">
        <v>1</v>
      </c>
      <c r="N19" s="65"/>
      <c r="O19" s="97">
        <f aca="true" t="shared" si="3" ref="O19:O24">Q19*25-K19*12-(SUM(L19:N19)*12)-2</f>
        <v>37</v>
      </c>
      <c r="P19" s="64" t="s">
        <v>60</v>
      </c>
      <c r="Q19" s="101">
        <v>3</v>
      </c>
      <c r="S19">
        <f t="shared" si="0"/>
      </c>
      <c r="T19">
        <f>IF(LEFT($C19,2)="DS",(SUM(D19:G19,K19:N19)*12),"")</f>
        <v>36</v>
      </c>
      <c r="U19">
        <f t="shared" si="1"/>
      </c>
      <c r="V19" s="2"/>
      <c r="W19">
        <f t="shared" si="2"/>
        <v>36</v>
      </c>
      <c r="AB19">
        <f>K19*12</f>
        <v>24</v>
      </c>
      <c r="AC19">
        <v>12</v>
      </c>
    </row>
    <row r="20" spans="1:32" s="13" customFormat="1" ht="12.75">
      <c r="A20" s="346">
        <v>7</v>
      </c>
      <c r="B20" s="190" t="s">
        <v>169</v>
      </c>
      <c r="C20" s="55" t="s">
        <v>300</v>
      </c>
      <c r="D20" s="52"/>
      <c r="E20" s="53"/>
      <c r="F20" s="53"/>
      <c r="G20" s="54"/>
      <c r="H20" s="53"/>
      <c r="I20" s="53"/>
      <c r="J20" s="55"/>
      <c r="K20" s="52">
        <v>2</v>
      </c>
      <c r="L20" s="53"/>
      <c r="M20" s="53">
        <v>2</v>
      </c>
      <c r="N20" s="54"/>
      <c r="O20" s="97">
        <f t="shared" si="3"/>
        <v>75</v>
      </c>
      <c r="P20" s="53" t="s">
        <v>60</v>
      </c>
      <c r="Q20" s="51">
        <v>5</v>
      </c>
      <c r="S20">
        <f>IF(LEFT($C20,2)="DF",(SUM(D20:G20,K20:N20)*12),"")</f>
        <v>48</v>
      </c>
      <c r="T20">
        <f>IF(LEFT($C20,2)="DS",(SUM(D20:G20,K20:N20)*12),"")</f>
      </c>
      <c r="U20">
        <f t="shared" si="1"/>
      </c>
      <c r="V20" s="2"/>
      <c r="W20">
        <f t="shared" si="2"/>
        <v>48</v>
      </c>
      <c r="X20"/>
      <c r="Y20"/>
      <c r="Z20">
        <f>K20*12</f>
        <v>24</v>
      </c>
      <c r="AA20">
        <v>24</v>
      </c>
      <c r="AD20"/>
      <c r="AE20"/>
      <c r="AF20"/>
    </row>
    <row r="21" spans="1:32" ht="12.75">
      <c r="A21" s="346">
        <v>8</v>
      </c>
      <c r="B21" s="192" t="s">
        <v>64</v>
      </c>
      <c r="C21" s="55" t="s">
        <v>189</v>
      </c>
      <c r="D21" s="61"/>
      <c r="E21" s="54"/>
      <c r="F21" s="54"/>
      <c r="G21" s="54"/>
      <c r="H21" s="54"/>
      <c r="I21" s="54"/>
      <c r="J21" s="219"/>
      <c r="K21" s="70">
        <v>2</v>
      </c>
      <c r="L21" s="71"/>
      <c r="M21" s="71">
        <v>1</v>
      </c>
      <c r="N21" s="69"/>
      <c r="O21" s="97">
        <f t="shared" si="3"/>
        <v>37</v>
      </c>
      <c r="P21" s="71" t="s">
        <v>60</v>
      </c>
      <c r="Q21" s="72">
        <v>3</v>
      </c>
      <c r="S21">
        <f>IF(LEFT($C21,2)="DF",(SUM(D21:G21,K21:N21)*12),"")</f>
        <v>36</v>
      </c>
      <c r="T21">
        <f>IF(LEFT($C21,2)="DS",(SUM(D21:G21,K21:N21)*12),"")</f>
      </c>
      <c r="U21">
        <f t="shared" si="1"/>
      </c>
      <c r="V21" s="2"/>
      <c r="W21">
        <f t="shared" si="2"/>
        <v>36</v>
      </c>
      <c r="Z21">
        <f>K21*12</f>
        <v>24</v>
      </c>
      <c r="AA21" s="270">
        <v>12</v>
      </c>
      <c r="AD21" s="270"/>
      <c r="AE21" s="270"/>
      <c r="AF21" s="270"/>
    </row>
    <row r="22" spans="1:32" s="270" customFormat="1" ht="12.75">
      <c r="A22" s="346">
        <v>9</v>
      </c>
      <c r="B22" s="192" t="s">
        <v>86</v>
      </c>
      <c r="C22" s="55" t="s">
        <v>113</v>
      </c>
      <c r="D22" s="70"/>
      <c r="E22" s="68"/>
      <c r="F22" s="69"/>
      <c r="G22" s="69"/>
      <c r="H22" s="188"/>
      <c r="I22" s="69"/>
      <c r="J22" s="102"/>
      <c r="K22" s="52">
        <v>2</v>
      </c>
      <c r="L22" s="60"/>
      <c r="M22" s="60">
        <v>1</v>
      </c>
      <c r="N22" s="62"/>
      <c r="O22" s="97">
        <f t="shared" si="3"/>
        <v>62</v>
      </c>
      <c r="P22" s="60" t="s">
        <v>60</v>
      </c>
      <c r="Q22" s="51">
        <v>4</v>
      </c>
      <c r="S22">
        <f>IF(LEFT($C22,2)="DF",(SUM(D22:G22,K22:N22)*12),"")</f>
        <v>36</v>
      </c>
      <c r="T22" s="272"/>
      <c r="U22" s="272">
        <f>IF(LEFT('an III'!$C18,2)="DC",(SUM(D22:G22,K22:N22)*14),"")</f>
      </c>
      <c r="V22" s="352"/>
      <c r="W22" s="272">
        <f t="shared" si="2"/>
        <v>36</v>
      </c>
      <c r="Y22"/>
      <c r="Z22">
        <f>K22*12</f>
        <v>24</v>
      </c>
      <c r="AA22">
        <v>12</v>
      </c>
      <c r="AD22"/>
      <c r="AE22"/>
      <c r="AF22"/>
    </row>
    <row r="23" spans="1:32" ht="12.75">
      <c r="A23" s="346">
        <v>10</v>
      </c>
      <c r="B23" s="190" t="s">
        <v>63</v>
      </c>
      <c r="C23" s="634" t="s">
        <v>301</v>
      </c>
      <c r="D23" s="61"/>
      <c r="E23" s="62"/>
      <c r="F23" s="54"/>
      <c r="G23" s="54"/>
      <c r="H23" s="54"/>
      <c r="I23" s="54"/>
      <c r="J23" s="219"/>
      <c r="K23" s="52">
        <v>1</v>
      </c>
      <c r="L23" s="53"/>
      <c r="M23" s="53">
        <v>1</v>
      </c>
      <c r="N23" s="54"/>
      <c r="O23" s="97">
        <f t="shared" si="3"/>
        <v>49</v>
      </c>
      <c r="P23" s="53" t="s">
        <v>7</v>
      </c>
      <c r="Q23" s="51">
        <v>3</v>
      </c>
      <c r="S23">
        <f>IF(LEFT($C23,2)="DF",(SUM(D23:G23,K23:N23)*14),"")</f>
      </c>
      <c r="T23">
        <f>IF(LEFT($C23,2)="DS",(SUM(D23:G23,K23:N23)*12),"")</f>
      </c>
      <c r="U23">
        <f>IF(LEFT($C23,2)="DC",(SUM(D23:G23,K23:N23)*12),"")</f>
        <v>24</v>
      </c>
      <c r="V23" s="2"/>
      <c r="W23">
        <f t="shared" si="2"/>
        <v>24</v>
      </c>
      <c r="AE23">
        <f>K23*12</f>
        <v>12</v>
      </c>
      <c r="AF23">
        <v>12</v>
      </c>
    </row>
    <row r="24" spans="1:32" ht="12.75">
      <c r="A24" s="308">
        <v>11</v>
      </c>
      <c r="B24" s="636" t="s">
        <v>219</v>
      </c>
      <c r="C24" s="635" t="s">
        <v>302</v>
      </c>
      <c r="D24" s="324"/>
      <c r="E24" s="321"/>
      <c r="F24" s="321"/>
      <c r="G24" s="321"/>
      <c r="H24" s="321"/>
      <c r="I24" s="321"/>
      <c r="J24" s="325"/>
      <c r="K24" s="321"/>
      <c r="L24" s="321">
        <v>1</v>
      </c>
      <c r="M24" s="321"/>
      <c r="N24" s="321"/>
      <c r="O24" s="97">
        <f t="shared" si="3"/>
        <v>61</v>
      </c>
      <c r="P24" s="321" t="s">
        <v>218</v>
      </c>
      <c r="Q24" s="325">
        <v>3</v>
      </c>
      <c r="R24" s="306"/>
      <c r="S24" s="306">
        <f>IF(LEFT($C24,2)="DF",(SUM(D24:G24,K24:N24)*12),"")</f>
      </c>
      <c r="T24" s="306">
        <f>IF(LEFT($C24,2)="DS",(SUM(D24:G24,K24:N24)*14),"")</f>
      </c>
      <c r="U24" s="306">
        <f>IF(LEFT($C24,2)="DC",(SUM(D24:G24,K24:N24)*12),"")</f>
        <v>12</v>
      </c>
      <c r="V24" s="307"/>
      <c r="W24" s="306">
        <f>SUM(S24:V24)</f>
        <v>12</v>
      </c>
      <c r="AF24">
        <v>12</v>
      </c>
    </row>
    <row r="25" spans="1:29" ht="13.5" thickBot="1">
      <c r="A25" s="288">
        <v>12</v>
      </c>
      <c r="B25" s="155" t="s">
        <v>193</v>
      </c>
      <c r="C25" s="175" t="s">
        <v>303</v>
      </c>
      <c r="D25" s="176"/>
      <c r="E25" s="156"/>
      <c r="F25" s="157"/>
      <c r="G25" s="157"/>
      <c r="H25" s="157"/>
      <c r="I25" s="157"/>
      <c r="J25" s="217"/>
      <c r="K25" s="400" t="s">
        <v>227</v>
      </c>
      <c r="L25" s="401"/>
      <c r="M25" s="401"/>
      <c r="N25" s="401"/>
      <c r="O25" s="402"/>
      <c r="P25" s="158" t="s">
        <v>7</v>
      </c>
      <c r="Q25" s="153">
        <v>3</v>
      </c>
      <c r="S25">
        <f>IF(LEFT($C25,2)="DF",(SUM(K25:N25)*14),"")</f>
      </c>
      <c r="T25">
        <v>44</v>
      </c>
      <c r="U25">
        <f>IF(LEFT($C25,2)="DC",(SUM(K25:N25)*14),"")</f>
      </c>
      <c r="V25" s="2"/>
      <c r="W25">
        <v>44</v>
      </c>
      <c r="AC25">
        <v>44</v>
      </c>
    </row>
    <row r="26" spans="1:22" ht="12.75">
      <c r="A26" s="406" t="s">
        <v>19</v>
      </c>
      <c r="B26" s="407"/>
      <c r="C26" s="408"/>
      <c r="D26" s="79">
        <f>SUM(D14:D23)</f>
        <v>10</v>
      </c>
      <c r="E26" s="64"/>
      <c r="F26" s="80">
        <f>SUM(F14:F23)</f>
        <v>7</v>
      </c>
      <c r="G26" s="66"/>
      <c r="H26" s="382">
        <f>SUM(H14:H23)</f>
        <v>327</v>
      </c>
      <c r="I26" s="370" t="s">
        <v>334</v>
      </c>
      <c r="J26" s="426">
        <f>SUM(J14:J23)</f>
        <v>23</v>
      </c>
      <c r="K26" s="79">
        <f>SUM(K14:K24)</f>
        <v>9</v>
      </c>
      <c r="L26" s="64">
        <f>SUM(L14:L24)</f>
        <v>1</v>
      </c>
      <c r="M26" s="80">
        <f>SUM(M14:M23)</f>
        <v>6</v>
      </c>
      <c r="N26" s="66"/>
      <c r="O26" s="382">
        <f>SUM(O14:O24)</f>
        <v>321</v>
      </c>
      <c r="P26" s="370" t="s">
        <v>89</v>
      </c>
      <c r="Q26" s="389">
        <f>SUM(Q14:Q25)-Q24</f>
        <v>21</v>
      </c>
      <c r="T26" s="59"/>
      <c r="U26" s="2"/>
      <c r="V26" s="2"/>
    </row>
    <row r="27" spans="1:17" ht="13.5" thickBot="1">
      <c r="A27" s="395"/>
      <c r="B27" s="396"/>
      <c r="C27" s="409"/>
      <c r="D27" s="385">
        <f>SUM(D26:G26)</f>
        <v>17</v>
      </c>
      <c r="E27" s="386"/>
      <c r="F27" s="386"/>
      <c r="G27" s="386"/>
      <c r="H27" s="378"/>
      <c r="I27" s="367" t="s">
        <v>70</v>
      </c>
      <c r="J27" s="376"/>
      <c r="K27" s="385">
        <f>SUM(K26:N26)</f>
        <v>16</v>
      </c>
      <c r="L27" s="386"/>
      <c r="M27" s="386"/>
      <c r="N27" s="386"/>
      <c r="O27" s="378"/>
      <c r="P27" s="367" t="s">
        <v>70</v>
      </c>
      <c r="Q27" s="376"/>
    </row>
    <row r="28" spans="1:17" ht="13.5" thickBot="1">
      <c r="A28" s="83"/>
      <c r="B28" s="83"/>
      <c r="C28" s="84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7" ht="12.75" customHeight="1">
      <c r="A29" s="420" t="s">
        <v>11</v>
      </c>
      <c r="B29" s="369" t="s">
        <v>71</v>
      </c>
      <c r="C29" s="422" t="s">
        <v>56</v>
      </c>
      <c r="D29" s="397" t="s">
        <v>78</v>
      </c>
      <c r="E29" s="398"/>
      <c r="F29" s="398"/>
      <c r="G29" s="398"/>
      <c r="H29" s="398"/>
      <c r="I29" s="398"/>
      <c r="J29" s="399"/>
      <c r="K29" s="397" t="s">
        <v>79</v>
      </c>
      <c r="L29" s="398"/>
      <c r="M29" s="398"/>
      <c r="N29" s="398"/>
      <c r="O29" s="398"/>
      <c r="P29" s="398"/>
      <c r="Q29" s="399"/>
    </row>
    <row r="30" spans="1:17" ht="12.75" customHeight="1">
      <c r="A30" s="421"/>
      <c r="B30" s="370"/>
      <c r="C30" s="423"/>
      <c r="D30" s="383" t="s">
        <v>7</v>
      </c>
      <c r="E30" s="370" t="s">
        <v>8</v>
      </c>
      <c r="F30" s="370" t="s">
        <v>9</v>
      </c>
      <c r="G30" s="366" t="s">
        <v>10</v>
      </c>
      <c r="H30" s="370" t="s">
        <v>28</v>
      </c>
      <c r="I30" s="370" t="s">
        <v>12</v>
      </c>
      <c r="J30" s="387" t="s">
        <v>13</v>
      </c>
      <c r="K30" s="383" t="s">
        <v>7</v>
      </c>
      <c r="L30" s="370" t="s">
        <v>8</v>
      </c>
      <c r="M30" s="370" t="s">
        <v>9</v>
      </c>
      <c r="N30" s="366" t="s">
        <v>10</v>
      </c>
      <c r="O30" s="370" t="s">
        <v>28</v>
      </c>
      <c r="P30" s="370" t="s">
        <v>12</v>
      </c>
      <c r="Q30" s="387" t="s">
        <v>13</v>
      </c>
    </row>
    <row r="31" spans="1:32" ht="11.25" customHeight="1" thickBot="1">
      <c r="A31" s="421"/>
      <c r="B31" s="370"/>
      <c r="C31" s="424"/>
      <c r="D31" s="365"/>
      <c r="E31" s="367"/>
      <c r="F31" s="367"/>
      <c r="G31" s="367"/>
      <c r="H31" s="367"/>
      <c r="I31" s="367"/>
      <c r="J31" s="381"/>
      <c r="K31" s="383"/>
      <c r="L31" s="370"/>
      <c r="M31" s="370"/>
      <c r="N31" s="370"/>
      <c r="O31" s="370"/>
      <c r="P31" s="370"/>
      <c r="Q31" s="387"/>
      <c r="S31" s="178" t="s">
        <v>171</v>
      </c>
      <c r="T31" s="171" t="s">
        <v>172</v>
      </c>
      <c r="U31" s="171" t="s">
        <v>173</v>
      </c>
      <c r="V31" s="171"/>
      <c r="W31" s="171" t="s">
        <v>174</v>
      </c>
      <c r="X31" s="171" t="s">
        <v>175</v>
      </c>
      <c r="Z31" s="353" t="s">
        <v>7</v>
      </c>
      <c r="AA31" s="169" t="s">
        <v>269</v>
      </c>
      <c r="AB31" s="353" t="s">
        <v>7</v>
      </c>
      <c r="AC31" s="169" t="s">
        <v>269</v>
      </c>
      <c r="AD31" s="50"/>
      <c r="AE31" s="353" t="s">
        <v>7</v>
      </c>
      <c r="AF31" s="169" t="s">
        <v>269</v>
      </c>
    </row>
    <row r="32" spans="1:29" ht="12.75">
      <c r="A32" s="283">
        <v>13</v>
      </c>
      <c r="B32" s="341" t="s">
        <v>99</v>
      </c>
      <c r="C32" s="74" t="s">
        <v>304</v>
      </c>
      <c r="D32" s="631">
        <v>2</v>
      </c>
      <c r="E32" s="632">
        <v>1</v>
      </c>
      <c r="F32" s="440"/>
      <c r="G32" s="440"/>
      <c r="H32" s="633">
        <f>J32*25-D32*14-(SUM(E32:G32)*14)-2</f>
        <v>56</v>
      </c>
      <c r="I32" s="440" t="s">
        <v>7</v>
      </c>
      <c r="J32" s="438">
        <v>4</v>
      </c>
      <c r="K32" s="418"/>
      <c r="L32" s="414"/>
      <c r="M32" s="414"/>
      <c r="N32" s="414"/>
      <c r="O32" s="414"/>
      <c r="P32" s="414"/>
      <c r="Q32" s="417"/>
      <c r="S32">
        <f aca="true" t="shared" si="4" ref="S32:S39">IF(LEFT($C32,2)="DF",(SUM(D32:G32,K32:N32)*14),"")</f>
      </c>
      <c r="T32">
        <f>IF(LEFT($C32,2)="DS",(SUM(D32:G32,K32:N32)*14),"")</f>
        <v>42</v>
      </c>
      <c r="U32">
        <f aca="true" t="shared" si="5" ref="U32:U41">IF(LEFT($C32,2)="DC",(SUM(D32:G32,K32:N32)*14),"")</f>
      </c>
      <c r="V32" s="2"/>
      <c r="X32" s="78">
        <f>SUM(S32:U32)</f>
        <v>42</v>
      </c>
      <c r="AB32">
        <v>28</v>
      </c>
      <c r="AC32">
        <v>14</v>
      </c>
    </row>
    <row r="33" spans="1:24" ht="12.75">
      <c r="A33" s="284">
        <v>14</v>
      </c>
      <c r="B33" s="193" t="s">
        <v>88</v>
      </c>
      <c r="C33" s="55" t="s">
        <v>114</v>
      </c>
      <c r="D33" s="415"/>
      <c r="E33" s="411"/>
      <c r="F33" s="404"/>
      <c r="G33" s="404"/>
      <c r="H33" s="416"/>
      <c r="I33" s="404"/>
      <c r="J33" s="403"/>
      <c r="K33" s="419"/>
      <c r="L33" s="404"/>
      <c r="M33" s="404"/>
      <c r="N33" s="404"/>
      <c r="O33" s="404"/>
      <c r="P33" s="404"/>
      <c r="Q33" s="403"/>
      <c r="S33">
        <f t="shared" si="4"/>
      </c>
      <c r="U33">
        <f>IF(LEFT($C33,2)="DC",(SUM(D33:G33,K33:N33)*14),"")</f>
      </c>
      <c r="V33" s="2"/>
      <c r="X33" s="78"/>
    </row>
    <row r="34" spans="1:32" ht="12" customHeight="1">
      <c r="A34" s="342">
        <v>15</v>
      </c>
      <c r="B34" s="340" t="s">
        <v>295</v>
      </c>
      <c r="C34" s="343" t="s">
        <v>305</v>
      </c>
      <c r="D34" s="434"/>
      <c r="E34" s="435"/>
      <c r="F34" s="435">
        <v>2</v>
      </c>
      <c r="G34" s="435"/>
      <c r="H34" s="416">
        <f>J34*25-D34*14-(SUM(E34:G34)*14)-2</f>
        <v>45</v>
      </c>
      <c r="I34" s="435" t="s">
        <v>7</v>
      </c>
      <c r="J34" s="436">
        <v>3</v>
      </c>
      <c r="K34" s="364"/>
      <c r="L34" s="366"/>
      <c r="M34" s="366"/>
      <c r="N34" s="366"/>
      <c r="O34" s="366"/>
      <c r="P34" s="366"/>
      <c r="Q34" s="380"/>
      <c r="S34">
        <f t="shared" si="4"/>
      </c>
      <c r="T34">
        <f>IF(LEFT($C34,2)="DS",(SUM(D34:G34,K34:N34)*14),"")</f>
      </c>
      <c r="U34">
        <f>IF(LEFT($C34,2)="DC",(SUM(D34:G34,K34:N34)*14),"")</f>
        <v>28</v>
      </c>
      <c r="V34" s="2"/>
      <c r="X34" s="78">
        <f>SUM(S34:U34)</f>
        <v>28</v>
      </c>
      <c r="AF34">
        <v>28</v>
      </c>
    </row>
    <row r="35" spans="1:24" ht="12" customHeight="1">
      <c r="A35" s="342">
        <v>16</v>
      </c>
      <c r="B35" s="340" t="s">
        <v>296</v>
      </c>
      <c r="C35" s="343" t="s">
        <v>306</v>
      </c>
      <c r="D35" s="434"/>
      <c r="E35" s="435"/>
      <c r="F35" s="435"/>
      <c r="G35" s="435"/>
      <c r="H35" s="416"/>
      <c r="I35" s="435"/>
      <c r="J35" s="436"/>
      <c r="K35" s="439"/>
      <c r="L35" s="440"/>
      <c r="M35" s="440"/>
      <c r="N35" s="440"/>
      <c r="O35" s="440"/>
      <c r="P35" s="440"/>
      <c r="Q35" s="438"/>
      <c r="S35">
        <f t="shared" si="4"/>
      </c>
      <c r="T35">
        <f>IF(LEFT($C35,2)="DS",(SUM(D35:G35,K35:N35)*14),"")</f>
      </c>
      <c r="V35" s="2"/>
      <c r="X35" s="78"/>
    </row>
    <row r="36" spans="1:32" ht="12" customHeight="1">
      <c r="A36" s="342">
        <v>17</v>
      </c>
      <c r="B36" s="340" t="s">
        <v>297</v>
      </c>
      <c r="C36" s="343" t="s">
        <v>307</v>
      </c>
      <c r="D36" s="364"/>
      <c r="E36" s="366"/>
      <c r="F36" s="366"/>
      <c r="G36" s="366"/>
      <c r="H36" s="366"/>
      <c r="I36" s="366"/>
      <c r="J36" s="380"/>
      <c r="K36" s="437"/>
      <c r="L36" s="435"/>
      <c r="M36" s="435">
        <v>1</v>
      </c>
      <c r="N36" s="435"/>
      <c r="O36" s="416">
        <f>Q36*25-K36*12-(SUM(L36:N36)*12)-2</f>
        <v>36</v>
      </c>
      <c r="P36" s="435" t="s">
        <v>7</v>
      </c>
      <c r="Q36" s="436">
        <v>2</v>
      </c>
      <c r="S36">
        <f t="shared" si="4"/>
      </c>
      <c r="T36">
        <f>IF(LEFT($C36,2)="DS",(SUM(D36:G36,K36:N36)*14),"")</f>
      </c>
      <c r="U36">
        <f>IF(LEFT($C36,2)="DC",(SUM(D36:G36,K36:N36)*12),"")</f>
        <v>12</v>
      </c>
      <c r="V36" s="2"/>
      <c r="X36" s="78">
        <f>SUM(S36:U36)</f>
        <v>12</v>
      </c>
      <c r="AF36">
        <v>12</v>
      </c>
    </row>
    <row r="37" spans="1:24" ht="12" customHeight="1">
      <c r="A37" s="342">
        <v>18</v>
      </c>
      <c r="B37" s="340" t="s">
        <v>298</v>
      </c>
      <c r="C37" s="343" t="s">
        <v>308</v>
      </c>
      <c r="D37" s="439"/>
      <c r="E37" s="440"/>
      <c r="F37" s="440"/>
      <c r="G37" s="440"/>
      <c r="H37" s="440"/>
      <c r="I37" s="440"/>
      <c r="J37" s="438"/>
      <c r="K37" s="437"/>
      <c r="L37" s="435"/>
      <c r="M37" s="435"/>
      <c r="N37" s="435"/>
      <c r="O37" s="416"/>
      <c r="P37" s="435"/>
      <c r="Q37" s="436"/>
      <c r="S37">
        <f t="shared" si="4"/>
      </c>
      <c r="T37">
        <f>IF(LEFT($C37,2)="DS",(SUM(D37:G37,K37:N37)*14),"")</f>
      </c>
      <c r="V37" s="2"/>
      <c r="X37" s="78"/>
    </row>
    <row r="38" spans="1:29" ht="14.25" customHeight="1">
      <c r="A38" s="284">
        <v>19</v>
      </c>
      <c r="B38" s="193" t="s">
        <v>90</v>
      </c>
      <c r="C38" s="55" t="s">
        <v>309</v>
      </c>
      <c r="D38" s="412"/>
      <c r="E38" s="404"/>
      <c r="F38" s="404"/>
      <c r="G38" s="404"/>
      <c r="H38" s="404"/>
      <c r="I38" s="404"/>
      <c r="J38" s="403"/>
      <c r="K38" s="410">
        <v>1</v>
      </c>
      <c r="L38" s="411">
        <v>1</v>
      </c>
      <c r="M38" s="404"/>
      <c r="N38" s="404"/>
      <c r="O38" s="404">
        <v>51</v>
      </c>
      <c r="P38" s="404" t="s">
        <v>7</v>
      </c>
      <c r="Q38" s="403">
        <v>3</v>
      </c>
      <c r="S38">
        <f t="shared" si="4"/>
      </c>
      <c r="T38">
        <f>IF(LEFT($C38,2)="DS",(SUM(D38:G38,K38:N38)*12),"")</f>
        <v>24</v>
      </c>
      <c r="U38">
        <f t="shared" si="5"/>
      </c>
      <c r="X38" s="78">
        <f>SUM(S38:U38)</f>
        <v>24</v>
      </c>
      <c r="AB38">
        <v>12</v>
      </c>
      <c r="AC38">
        <v>12</v>
      </c>
    </row>
    <row r="39" spans="1:21" ht="22.5">
      <c r="A39" s="284">
        <v>20</v>
      </c>
      <c r="B39" s="193" t="s">
        <v>238</v>
      </c>
      <c r="C39" s="55" t="s">
        <v>310</v>
      </c>
      <c r="D39" s="412"/>
      <c r="E39" s="404"/>
      <c r="F39" s="404"/>
      <c r="G39" s="404"/>
      <c r="H39" s="404"/>
      <c r="I39" s="404"/>
      <c r="J39" s="403"/>
      <c r="K39" s="410"/>
      <c r="L39" s="411"/>
      <c r="M39" s="404"/>
      <c r="N39" s="404"/>
      <c r="O39" s="404"/>
      <c r="P39" s="404"/>
      <c r="Q39" s="403"/>
      <c r="S39">
        <f t="shared" si="4"/>
      </c>
      <c r="U39">
        <f t="shared" si="5"/>
      </c>
    </row>
    <row r="40" spans="1:27" ht="12" customHeight="1">
      <c r="A40" s="284">
        <v>21</v>
      </c>
      <c r="B40" s="193" t="s">
        <v>234</v>
      </c>
      <c r="C40" s="55" t="s">
        <v>311</v>
      </c>
      <c r="D40" s="412"/>
      <c r="E40" s="404"/>
      <c r="F40" s="404"/>
      <c r="G40" s="404"/>
      <c r="H40" s="404"/>
      <c r="I40" s="404"/>
      <c r="J40" s="403"/>
      <c r="K40" s="428">
        <v>2</v>
      </c>
      <c r="L40" s="430"/>
      <c r="M40" s="432">
        <v>1</v>
      </c>
      <c r="N40" s="404"/>
      <c r="O40" s="404">
        <v>64</v>
      </c>
      <c r="P40" s="404" t="s">
        <v>7</v>
      </c>
      <c r="Q40" s="403">
        <v>4</v>
      </c>
      <c r="S40">
        <f>IF(LEFT($C40,2)="DF",(SUM(D40:G40,K40:N40)*12),"")</f>
        <v>36</v>
      </c>
      <c r="T40">
        <f>IF(LEFT($C40,2)="DS",(SUM(D40:G40,K40:N40)*12),"")</f>
      </c>
      <c r="U40">
        <f t="shared" si="5"/>
      </c>
      <c r="X40" s="78">
        <f>SUM(S40:U40)</f>
        <v>36</v>
      </c>
      <c r="Z40">
        <v>24</v>
      </c>
      <c r="AA40">
        <v>12</v>
      </c>
    </row>
    <row r="41" spans="1:30" ht="12" customHeight="1" thickBot="1">
      <c r="A41" s="285">
        <v>22</v>
      </c>
      <c r="B41" s="347" t="s">
        <v>235</v>
      </c>
      <c r="C41" s="344" t="s">
        <v>312</v>
      </c>
      <c r="D41" s="413"/>
      <c r="E41" s="405"/>
      <c r="F41" s="405"/>
      <c r="G41" s="405"/>
      <c r="H41" s="405"/>
      <c r="I41" s="405"/>
      <c r="J41" s="427"/>
      <c r="K41" s="429"/>
      <c r="L41" s="431"/>
      <c r="M41" s="433"/>
      <c r="N41" s="405"/>
      <c r="O41" s="405"/>
      <c r="P41" s="405"/>
      <c r="Q41" s="427"/>
      <c r="U41">
        <f t="shared" si="5"/>
      </c>
      <c r="Z41" s="82"/>
      <c r="AA41" s="82"/>
      <c r="AB41" s="82"/>
      <c r="AC41" s="82"/>
      <c r="AD41" s="82"/>
    </row>
    <row r="42" spans="1:33" ht="12.75" customHeight="1">
      <c r="A42" s="406" t="s">
        <v>20</v>
      </c>
      <c r="B42" s="407"/>
      <c r="C42" s="408"/>
      <c r="D42" s="79">
        <f>SUM(D32:D39)</f>
        <v>2</v>
      </c>
      <c r="E42" s="64">
        <f>SUM(E32:E39)</f>
        <v>1</v>
      </c>
      <c r="F42" s="80">
        <f>SUM(F32:F39)</f>
        <v>2</v>
      </c>
      <c r="G42" s="66"/>
      <c r="H42" s="382">
        <f>SUM(H32:H39)</f>
        <v>101</v>
      </c>
      <c r="I42" s="382" t="s">
        <v>101</v>
      </c>
      <c r="J42" s="389">
        <f>SUM(J32:J41)</f>
        <v>7</v>
      </c>
      <c r="K42" s="79">
        <f>SUM(K32:K41)</f>
        <v>3</v>
      </c>
      <c r="L42" s="64">
        <f>SUM(L32:L41)</f>
        <v>1</v>
      </c>
      <c r="M42" s="80">
        <f>SUM(M32:M41)</f>
        <v>2</v>
      </c>
      <c r="N42" s="66"/>
      <c r="O42" s="382">
        <f>SUM(O36:O41)</f>
        <v>151</v>
      </c>
      <c r="P42" s="382" t="s">
        <v>315</v>
      </c>
      <c r="Q42" s="389">
        <f>SUM(Q32:Q41)</f>
        <v>9</v>
      </c>
      <c r="Z42" s="160">
        <f>SUM(Z14:Z41)</f>
        <v>180</v>
      </c>
      <c r="AA42" s="160">
        <f aca="true" t="shared" si="6" ref="AA42:AF42">SUM(AA14:AA41)</f>
        <v>116</v>
      </c>
      <c r="AB42" s="160">
        <f t="shared" si="6"/>
        <v>120</v>
      </c>
      <c r="AC42" s="160">
        <f t="shared" si="6"/>
        <v>124</v>
      </c>
      <c r="AD42" s="160">
        <f t="shared" si="6"/>
        <v>0</v>
      </c>
      <c r="AE42" s="160">
        <f t="shared" si="6"/>
        <v>12</v>
      </c>
      <c r="AF42" s="160">
        <f t="shared" si="6"/>
        <v>64</v>
      </c>
      <c r="AG42" s="160">
        <f>SUM(Z42:AF42)</f>
        <v>616</v>
      </c>
    </row>
    <row r="43" spans="1:24" ht="12.75" customHeight="1" thickBot="1">
      <c r="A43" s="395"/>
      <c r="B43" s="396"/>
      <c r="C43" s="409"/>
      <c r="D43" s="385">
        <f>SUM(D42:G42)</f>
        <v>5</v>
      </c>
      <c r="E43" s="386"/>
      <c r="F43" s="386"/>
      <c r="G43" s="386"/>
      <c r="H43" s="378"/>
      <c r="I43" s="378"/>
      <c r="J43" s="376"/>
      <c r="K43" s="385">
        <f>SUM(K42:N42)</f>
        <v>6</v>
      </c>
      <c r="L43" s="386"/>
      <c r="M43" s="386"/>
      <c r="N43" s="386"/>
      <c r="O43" s="378"/>
      <c r="P43" s="378"/>
      <c r="Q43" s="376"/>
      <c r="S43" s="178" t="s">
        <v>171</v>
      </c>
      <c r="T43" s="171" t="s">
        <v>172</v>
      </c>
      <c r="U43" s="171" t="s">
        <v>173</v>
      </c>
      <c r="V43" s="171"/>
      <c r="W43" s="171" t="s">
        <v>174</v>
      </c>
      <c r="X43" s="171" t="s">
        <v>175</v>
      </c>
    </row>
    <row r="44" spans="1:26" ht="13.5" thickBot="1">
      <c r="A44" s="83"/>
      <c r="B44" s="228"/>
      <c r="C44" s="84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S44" s="160">
        <f>SUM(S14:S43)</f>
        <v>296</v>
      </c>
      <c r="T44" s="160">
        <f>SUM(T14:T43)</f>
        <v>244</v>
      </c>
      <c r="U44" s="160">
        <f>SUM(U14:U43)</f>
        <v>76</v>
      </c>
      <c r="V44" s="160"/>
      <c r="W44" s="160">
        <f>SUM(W14:W43)</f>
        <v>474</v>
      </c>
      <c r="X44" s="160">
        <f>SUM(X14:X43)</f>
        <v>142</v>
      </c>
      <c r="Y44" s="160">
        <f>SUM(S44:U44)</f>
        <v>616</v>
      </c>
      <c r="Z44" s="160">
        <f>SUM(V44:X44)</f>
        <v>616</v>
      </c>
    </row>
    <row r="45" spans="1:17" ht="12.75" customHeight="1">
      <c r="A45" s="85"/>
      <c r="B45" s="86" t="s">
        <v>21</v>
      </c>
      <c r="C45" s="87"/>
      <c r="D45" s="88">
        <f>D26+D42</f>
        <v>12</v>
      </c>
      <c r="E45" s="73">
        <f>E26+E42</f>
        <v>1</v>
      </c>
      <c r="F45" s="73">
        <f>F26+F42</f>
        <v>9</v>
      </c>
      <c r="G45" s="74"/>
      <c r="H45" s="377">
        <f>H26+H42</f>
        <v>428</v>
      </c>
      <c r="I45" s="369" t="s">
        <v>240</v>
      </c>
      <c r="J45" s="375">
        <f aca="true" t="shared" si="7" ref="J45:O45">J26+J42</f>
        <v>30</v>
      </c>
      <c r="K45" s="88">
        <f t="shared" si="7"/>
        <v>12</v>
      </c>
      <c r="L45" s="73">
        <f t="shared" si="7"/>
        <v>2</v>
      </c>
      <c r="M45" s="73">
        <f t="shared" si="7"/>
        <v>8</v>
      </c>
      <c r="N45" s="74"/>
      <c r="O45" s="377">
        <f t="shared" si="7"/>
        <v>472</v>
      </c>
      <c r="P45" s="369" t="s">
        <v>316</v>
      </c>
      <c r="Q45" s="375">
        <f>Q26+Q42</f>
        <v>30</v>
      </c>
    </row>
    <row r="46" spans="1:17" ht="12.75" customHeight="1" thickBot="1">
      <c r="A46" s="85"/>
      <c r="B46" s="85"/>
      <c r="C46" s="87"/>
      <c r="D46" s="385">
        <f>SUM(D45:G45)</f>
        <v>22</v>
      </c>
      <c r="E46" s="386"/>
      <c r="F46" s="386"/>
      <c r="G46" s="386"/>
      <c r="H46" s="378"/>
      <c r="I46" s="367" t="s">
        <v>70</v>
      </c>
      <c r="J46" s="376"/>
      <c r="K46" s="385">
        <f>SUM(K45:N45)</f>
        <v>22</v>
      </c>
      <c r="L46" s="386"/>
      <c r="M46" s="386"/>
      <c r="N46" s="386"/>
      <c r="O46" s="378"/>
      <c r="P46" s="367" t="s">
        <v>70</v>
      </c>
      <c r="Q46" s="376"/>
    </row>
    <row r="47" spans="1:17" ht="13.5" thickBot="1">
      <c r="A47" s="75"/>
      <c r="B47" s="75"/>
      <c r="C47" s="75"/>
      <c r="D47" s="76"/>
      <c r="E47" s="76"/>
      <c r="F47" s="76"/>
      <c r="G47" s="76"/>
      <c r="H47" s="75"/>
      <c r="I47" s="98"/>
      <c r="J47" s="76"/>
      <c r="K47" s="76"/>
      <c r="L47" s="76"/>
      <c r="M47" s="76"/>
      <c r="N47" s="76"/>
      <c r="O47" s="75"/>
      <c r="P47" s="98"/>
      <c r="Q47" s="76"/>
    </row>
    <row r="48" spans="1:17" ht="12.75">
      <c r="A48" s="390" t="s">
        <v>11</v>
      </c>
      <c r="B48" s="390" t="s">
        <v>273</v>
      </c>
      <c r="C48" s="390" t="s">
        <v>359</v>
      </c>
      <c r="D48" s="397" t="s">
        <v>291</v>
      </c>
      <c r="E48" s="398"/>
      <c r="F48" s="398"/>
      <c r="G48" s="398"/>
      <c r="H48" s="398"/>
      <c r="I48" s="398"/>
      <c r="J48" s="399"/>
      <c r="K48" s="397" t="s">
        <v>292</v>
      </c>
      <c r="L48" s="398"/>
      <c r="M48" s="398"/>
      <c r="N48" s="398"/>
      <c r="O48" s="398"/>
      <c r="P48" s="398"/>
      <c r="Q48" s="399"/>
    </row>
    <row r="49" spans="1:17" ht="12.75">
      <c r="A49" s="391"/>
      <c r="B49" s="391"/>
      <c r="C49" s="391"/>
      <c r="D49" s="364" t="s">
        <v>7</v>
      </c>
      <c r="E49" s="366" t="s">
        <v>8</v>
      </c>
      <c r="F49" s="366" t="s">
        <v>9</v>
      </c>
      <c r="G49" s="366" t="s">
        <v>10</v>
      </c>
      <c r="H49" s="366" t="s">
        <v>28</v>
      </c>
      <c r="I49" s="366" t="s">
        <v>12</v>
      </c>
      <c r="J49" s="380" t="s">
        <v>13</v>
      </c>
      <c r="K49" s="364" t="s">
        <v>7</v>
      </c>
      <c r="L49" s="366" t="s">
        <v>8</v>
      </c>
      <c r="M49" s="366" t="s">
        <v>9</v>
      </c>
      <c r="N49" s="366" t="s">
        <v>10</v>
      </c>
      <c r="O49" s="366" t="s">
        <v>28</v>
      </c>
      <c r="P49" s="366" t="s">
        <v>12</v>
      </c>
      <c r="Q49" s="380" t="s">
        <v>13</v>
      </c>
    </row>
    <row r="50" spans="1:17" ht="13.5" thickBot="1">
      <c r="A50" s="392"/>
      <c r="B50" s="392"/>
      <c r="C50" s="392"/>
      <c r="D50" s="365"/>
      <c r="E50" s="367"/>
      <c r="F50" s="367"/>
      <c r="G50" s="367"/>
      <c r="H50" s="367"/>
      <c r="I50" s="367"/>
      <c r="J50" s="381"/>
      <c r="K50" s="365"/>
      <c r="L50" s="367"/>
      <c r="M50" s="367"/>
      <c r="N50" s="367"/>
      <c r="O50" s="367"/>
      <c r="P50" s="367"/>
      <c r="Q50" s="381"/>
    </row>
    <row r="51" spans="1:17" ht="12.75">
      <c r="A51" s="614">
        <v>23</v>
      </c>
      <c r="B51" s="615" t="s">
        <v>293</v>
      </c>
      <c r="C51" s="656" t="s">
        <v>326</v>
      </c>
      <c r="D51" s="597">
        <v>2</v>
      </c>
      <c r="E51" s="598">
        <v>2</v>
      </c>
      <c r="F51" s="598"/>
      <c r="G51" s="598"/>
      <c r="H51" s="54">
        <f>J51*25-D51*14-(SUM(E51:G51)*14)-2</f>
        <v>67</v>
      </c>
      <c r="I51" s="598" t="s">
        <v>60</v>
      </c>
      <c r="J51" s="599">
        <v>5</v>
      </c>
      <c r="K51" s="357"/>
      <c r="L51" s="358"/>
      <c r="M51" s="358"/>
      <c r="N51" s="358"/>
      <c r="O51" s="358"/>
      <c r="P51" s="358"/>
      <c r="Q51" s="359"/>
    </row>
    <row r="52" spans="1:17" ht="12.75">
      <c r="A52" s="624">
        <v>24</v>
      </c>
      <c r="B52" s="615" t="s">
        <v>294</v>
      </c>
      <c r="C52" s="656" t="s">
        <v>327</v>
      </c>
      <c r="D52" s="625"/>
      <c r="E52" s="626"/>
      <c r="F52" s="627"/>
      <c r="G52" s="627"/>
      <c r="H52" s="627"/>
      <c r="I52" s="628"/>
      <c r="J52" s="629"/>
      <c r="K52" s="625">
        <v>2</v>
      </c>
      <c r="L52" s="627">
        <v>2</v>
      </c>
      <c r="M52" s="627"/>
      <c r="N52" s="627"/>
      <c r="O52" s="97">
        <f>Q52*25-K52*12-(SUM(L52:N52)*12)-2</f>
        <v>75</v>
      </c>
      <c r="P52" s="628" t="s">
        <v>60</v>
      </c>
      <c r="Q52" s="630">
        <v>5</v>
      </c>
    </row>
    <row r="53" spans="1:17" ht="13.5" thickBot="1">
      <c r="A53" s="616">
        <v>25</v>
      </c>
      <c r="B53" s="617" t="s">
        <v>313</v>
      </c>
      <c r="C53" s="343" t="s">
        <v>328</v>
      </c>
      <c r="D53" s="618"/>
      <c r="E53" s="619"/>
      <c r="F53" s="620"/>
      <c r="G53" s="620"/>
      <c r="H53" s="620"/>
      <c r="I53" s="621"/>
      <c r="J53" s="622"/>
      <c r="K53" s="618">
        <v>2</v>
      </c>
      <c r="L53" s="620"/>
      <c r="M53" s="620">
        <v>2</v>
      </c>
      <c r="N53" s="620"/>
      <c r="O53" s="97">
        <f>Q53*25-K53*12-(SUM(L53:N53)*12)-2</f>
        <v>75</v>
      </c>
      <c r="P53" s="621" t="s">
        <v>7</v>
      </c>
      <c r="Q53" s="623">
        <v>5</v>
      </c>
    </row>
    <row r="54" spans="1:20" ht="12.75">
      <c r="A54" s="600" t="s">
        <v>289</v>
      </c>
      <c r="B54" s="601"/>
      <c r="C54" s="601"/>
      <c r="D54" s="602">
        <f>SUM(D51:D53)</f>
        <v>2</v>
      </c>
      <c r="E54" s="603">
        <f>SUM(E51:E53)</f>
        <v>2</v>
      </c>
      <c r="F54" s="603"/>
      <c r="G54" s="603"/>
      <c r="H54" s="604">
        <f>SUM(H51:H53)</f>
        <v>67</v>
      </c>
      <c r="I54" s="605" t="s">
        <v>290</v>
      </c>
      <c r="J54" s="606">
        <f>SUM(J51:J53)</f>
        <v>5</v>
      </c>
      <c r="K54" s="602">
        <f>SUM(K51:K53)</f>
        <v>4</v>
      </c>
      <c r="L54" s="603">
        <f>SUM(L51:L53)</f>
        <v>2</v>
      </c>
      <c r="M54" s="603"/>
      <c r="N54" s="603"/>
      <c r="O54" s="604">
        <f>SUM(O52:O53)</f>
        <v>150</v>
      </c>
      <c r="P54" s="605" t="s">
        <v>317</v>
      </c>
      <c r="Q54" s="606">
        <f>SUM(Q51:Q53)</f>
        <v>10</v>
      </c>
      <c r="T54">
        <f>D55*14+K55*12</f>
        <v>128</v>
      </c>
    </row>
    <row r="55" spans="1:17" ht="13.5" thickBot="1">
      <c r="A55" s="607"/>
      <c r="B55" s="608"/>
      <c r="C55" s="608"/>
      <c r="D55" s="609">
        <f>SUM(D54:G54)</f>
        <v>4</v>
      </c>
      <c r="E55" s="610"/>
      <c r="F55" s="610"/>
      <c r="G55" s="610"/>
      <c r="H55" s="611"/>
      <c r="I55" s="612"/>
      <c r="J55" s="613"/>
      <c r="K55" s="609">
        <f>SUM(K54:N54)</f>
        <v>6</v>
      </c>
      <c r="L55" s="610"/>
      <c r="M55" s="610"/>
      <c r="N55" s="610"/>
      <c r="O55" s="611"/>
      <c r="P55" s="612"/>
      <c r="Q55" s="613"/>
    </row>
    <row r="56" spans="1:17" ht="12.75">
      <c r="A56" s="45"/>
      <c r="B56" s="384" t="s">
        <v>192</v>
      </c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</row>
    <row r="57" spans="1:17" ht="25.5" customHeight="1">
      <c r="A57" s="45"/>
      <c r="B57" s="483" t="s">
        <v>254</v>
      </c>
      <c r="C57" s="483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</row>
    <row r="58" spans="1:17" ht="12.75" customHeight="1">
      <c r="A58" s="45"/>
      <c r="B58" s="89"/>
      <c r="C58" s="90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30" s="78" customFormat="1" ht="12.7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43"/>
      <c r="T59"/>
      <c r="U59"/>
      <c r="V59"/>
      <c r="X59"/>
      <c r="Y59"/>
      <c r="Z59"/>
      <c r="AB59"/>
      <c r="AC59"/>
      <c r="AD59"/>
    </row>
    <row r="60" spans="1:17" ht="12.75">
      <c r="A60" s="91"/>
      <c r="B60" s="91"/>
      <c r="C60" s="91"/>
      <c r="D60" s="91"/>
      <c r="E60" s="91"/>
      <c r="F60" s="91"/>
      <c r="G60" s="91"/>
      <c r="H60" s="91"/>
      <c r="I60" s="91"/>
      <c r="J60" s="92"/>
      <c r="K60" s="92"/>
      <c r="L60" s="93"/>
      <c r="M60" s="92"/>
      <c r="N60" s="92"/>
      <c r="O60" s="42"/>
      <c r="P60" s="42"/>
      <c r="Q60" s="42"/>
    </row>
    <row r="61" spans="1:30" s="81" customFormat="1" ht="12.75">
      <c r="A61" s="94"/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96"/>
      <c r="T61"/>
      <c r="U61"/>
      <c r="V61"/>
      <c r="X61"/>
      <c r="Y61"/>
      <c r="Z61"/>
      <c r="AB61"/>
      <c r="AC61"/>
      <c r="AD61"/>
    </row>
    <row r="62" spans="1:30" s="81" customFormat="1" ht="12.75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6"/>
      <c r="T62"/>
      <c r="U62"/>
      <c r="V62"/>
      <c r="X62"/>
      <c r="Y62"/>
      <c r="Z62"/>
      <c r="AB62"/>
      <c r="AC62"/>
      <c r="AD62"/>
    </row>
    <row r="63" spans="1:17" ht="12.75">
      <c r="A63" s="92"/>
      <c r="B63" s="92"/>
      <c r="C63" s="4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1:30" s="78" customFormat="1" ht="12.75">
      <c r="A64" s="388"/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43"/>
      <c r="T64"/>
      <c r="U64"/>
      <c r="V64"/>
      <c r="X64"/>
      <c r="Y64"/>
      <c r="Z64"/>
      <c r="AB64"/>
      <c r="AC64"/>
      <c r="AD64"/>
    </row>
    <row r="65" spans="1:17" ht="12.75">
      <c r="A65" s="91"/>
      <c r="B65" s="91"/>
      <c r="C65" s="91"/>
      <c r="D65" s="91"/>
      <c r="E65" s="91"/>
      <c r="F65" s="91"/>
      <c r="G65" s="91"/>
      <c r="H65" s="91"/>
      <c r="I65" s="91"/>
      <c r="J65" s="92"/>
      <c r="K65" s="92"/>
      <c r="L65" s="93"/>
      <c r="M65" s="92"/>
      <c r="N65" s="92"/>
      <c r="O65" s="42"/>
      <c r="P65" s="42"/>
      <c r="Q65" s="42"/>
    </row>
    <row r="66" spans="1:30" s="81" customFormat="1" ht="12.75">
      <c r="A66" s="94"/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96"/>
      <c r="T66"/>
      <c r="U66"/>
      <c r="V66"/>
      <c r="X66"/>
      <c r="Y66"/>
      <c r="Z66"/>
      <c r="AB66"/>
      <c r="AC66"/>
      <c r="AD66"/>
    </row>
    <row r="67" spans="1:30" s="81" customFormat="1" ht="12.75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6"/>
      <c r="T67"/>
      <c r="U67"/>
      <c r="V67"/>
      <c r="X67"/>
      <c r="Y67"/>
      <c r="Z67"/>
      <c r="AB67"/>
      <c r="AC67"/>
      <c r="AD67"/>
    </row>
    <row r="68" spans="1:17" ht="12.75">
      <c r="A68" s="92"/>
      <c r="B68" s="92"/>
      <c r="C68" s="41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1:30" s="78" customFormat="1" ht="12.75">
      <c r="A69" s="388"/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43"/>
      <c r="T69"/>
      <c r="U69"/>
      <c r="V69"/>
      <c r="X69"/>
      <c r="Y69"/>
      <c r="Z69"/>
      <c r="AB69"/>
      <c r="AC69"/>
      <c r="AD69"/>
    </row>
    <row r="70" spans="1:17" ht="12.75">
      <c r="A70" s="91"/>
      <c r="B70" s="91"/>
      <c r="C70" s="91"/>
      <c r="D70" s="91"/>
      <c r="E70" s="91"/>
      <c r="F70" s="91"/>
      <c r="G70" s="91"/>
      <c r="H70" s="91"/>
      <c r="I70" s="91"/>
      <c r="J70" s="92"/>
      <c r="K70" s="92"/>
      <c r="L70" s="93"/>
      <c r="M70" s="92"/>
      <c r="N70" s="92"/>
      <c r="O70" s="42"/>
      <c r="P70" s="42"/>
      <c r="Q70" s="42"/>
    </row>
    <row r="71" spans="1:30" s="81" customFormat="1" ht="12.75">
      <c r="A71" s="94"/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96"/>
      <c r="T71"/>
      <c r="U71"/>
      <c r="V71"/>
      <c r="X71"/>
      <c r="Y71"/>
      <c r="Z71"/>
      <c r="AB71"/>
      <c r="AC71"/>
      <c r="AD71"/>
    </row>
    <row r="72" spans="1:30" ht="12.75">
      <c r="A72" s="92"/>
      <c r="B72" s="92"/>
      <c r="C72" s="4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X72" s="81"/>
      <c r="Y72" s="81"/>
      <c r="Z72" s="81"/>
      <c r="AB72" s="81"/>
      <c r="AC72" s="81"/>
      <c r="AD72" s="81"/>
    </row>
  </sheetData>
  <sheetProtection/>
  <mergeCells count="186">
    <mergeCell ref="Q54:Q55"/>
    <mergeCell ref="D55:G55"/>
    <mergeCell ref="K55:N55"/>
    <mergeCell ref="B57:Q57"/>
    <mergeCell ref="B56:Q56"/>
    <mergeCell ref="A54:C55"/>
    <mergeCell ref="H54:H55"/>
    <mergeCell ref="I54:I55"/>
    <mergeCell ref="J54:J55"/>
    <mergeCell ref="O54:O55"/>
    <mergeCell ref="P54:P55"/>
    <mergeCell ref="L49:L50"/>
    <mergeCell ref="M49:M50"/>
    <mergeCell ref="N49:N50"/>
    <mergeCell ref="O49:O50"/>
    <mergeCell ref="P49:P50"/>
    <mergeCell ref="Q49:Q50"/>
    <mergeCell ref="D48:J48"/>
    <mergeCell ref="K48:Q48"/>
    <mergeCell ref="D49:D50"/>
    <mergeCell ref="E49:E50"/>
    <mergeCell ref="F49:F50"/>
    <mergeCell ref="G49:G50"/>
    <mergeCell ref="H49:H50"/>
    <mergeCell ref="I49:I50"/>
    <mergeCell ref="J49:J50"/>
    <mergeCell ref="K49:K50"/>
    <mergeCell ref="D36:D37"/>
    <mergeCell ref="E36:E37"/>
    <mergeCell ref="F36:F37"/>
    <mergeCell ref="G36:G37"/>
    <mergeCell ref="H36:H37"/>
    <mergeCell ref="I36:I37"/>
    <mergeCell ref="P36:P37"/>
    <mergeCell ref="Q36:Q37"/>
    <mergeCell ref="K34:K35"/>
    <mergeCell ref="L34:L35"/>
    <mergeCell ref="M34:M35"/>
    <mergeCell ref="N34:N35"/>
    <mergeCell ref="O34:O35"/>
    <mergeCell ref="P34:P35"/>
    <mergeCell ref="Q34:Q35"/>
    <mergeCell ref="J34:J35"/>
    <mergeCell ref="K36:K37"/>
    <mergeCell ref="L36:L37"/>
    <mergeCell ref="M36:M37"/>
    <mergeCell ref="N36:N37"/>
    <mergeCell ref="O36:O37"/>
    <mergeCell ref="J36:J37"/>
    <mergeCell ref="D34:D35"/>
    <mergeCell ref="E34:E35"/>
    <mergeCell ref="F34:F35"/>
    <mergeCell ref="G34:G35"/>
    <mergeCell ref="H34:H35"/>
    <mergeCell ref="I34:I35"/>
    <mergeCell ref="E40:E41"/>
    <mergeCell ref="F40:F41"/>
    <mergeCell ref="G40:G41"/>
    <mergeCell ref="H40:H41"/>
    <mergeCell ref="I40:I41"/>
    <mergeCell ref="P40:P41"/>
    <mergeCell ref="J40:J41"/>
    <mergeCell ref="K40:K41"/>
    <mergeCell ref="L40:L41"/>
    <mergeCell ref="M40:M41"/>
    <mergeCell ref="J45:J46"/>
    <mergeCell ref="B61:C61"/>
    <mergeCell ref="D61:P61"/>
    <mergeCell ref="A64:C64"/>
    <mergeCell ref="D64:P64"/>
    <mergeCell ref="A59:C59"/>
    <mergeCell ref="D59:P59"/>
    <mergeCell ref="A48:A50"/>
    <mergeCell ref="B48:B50"/>
    <mergeCell ref="C48:C50"/>
    <mergeCell ref="Q40:Q41"/>
    <mergeCell ref="O45:O46"/>
    <mergeCell ref="P45:P46"/>
    <mergeCell ref="Q45:Q46"/>
    <mergeCell ref="D46:G46"/>
    <mergeCell ref="K46:N46"/>
    <mergeCell ref="D43:G43"/>
    <mergeCell ref="K43:N43"/>
    <mergeCell ref="H45:H46"/>
    <mergeCell ref="I45:I46"/>
    <mergeCell ref="H30:H31"/>
    <mergeCell ref="P42:P43"/>
    <mergeCell ref="Q42:Q43"/>
    <mergeCell ref="K29:Q29"/>
    <mergeCell ref="M38:M39"/>
    <mergeCell ref="P38:P39"/>
    <mergeCell ref="Q38:Q39"/>
    <mergeCell ref="K30:K31"/>
    <mergeCell ref="L30:L31"/>
    <mergeCell ref="M30:M31"/>
    <mergeCell ref="Q26:Q27"/>
    <mergeCell ref="D27:G27"/>
    <mergeCell ref="K27:N27"/>
    <mergeCell ref="J26:J27"/>
    <mergeCell ref="O26:O27"/>
    <mergeCell ref="P26:P27"/>
    <mergeCell ref="A2:C2"/>
    <mergeCell ref="A1:C1"/>
    <mergeCell ref="A3:Q3"/>
    <mergeCell ref="A5:M5"/>
    <mergeCell ref="A10:Q10"/>
    <mergeCell ref="A6:G6"/>
    <mergeCell ref="A7:G7"/>
    <mergeCell ref="A8:G8"/>
    <mergeCell ref="A9:G9"/>
    <mergeCell ref="A11:A13"/>
    <mergeCell ref="B11:B13"/>
    <mergeCell ref="C11:C13"/>
    <mergeCell ref="D11:J11"/>
    <mergeCell ref="K11:Q11"/>
    <mergeCell ref="D12:D13"/>
    <mergeCell ref="E12:E13"/>
    <mergeCell ref="F12:F13"/>
    <mergeCell ref="G12:G13"/>
    <mergeCell ref="N12:N13"/>
    <mergeCell ref="O12:O13"/>
    <mergeCell ref="H12:H13"/>
    <mergeCell ref="I12:I13"/>
    <mergeCell ref="J12:J13"/>
    <mergeCell ref="K12:K13"/>
    <mergeCell ref="P12:P13"/>
    <mergeCell ref="Q12:Q13"/>
    <mergeCell ref="L12:L13"/>
    <mergeCell ref="M12:M13"/>
    <mergeCell ref="A69:C69"/>
    <mergeCell ref="D69:P69"/>
    <mergeCell ref="A29:A31"/>
    <mergeCell ref="B29:B31"/>
    <mergeCell ref="C29:C31"/>
    <mergeCell ref="D29:J29"/>
    <mergeCell ref="F30:F31"/>
    <mergeCell ref="B71:C71"/>
    <mergeCell ref="D71:P71"/>
    <mergeCell ref="B66:C66"/>
    <mergeCell ref="D66:P66"/>
    <mergeCell ref="O30:O31"/>
    <mergeCell ref="M32:M33"/>
    <mergeCell ref="N32:N33"/>
    <mergeCell ref="O32:O33"/>
    <mergeCell ref="P32:P33"/>
    <mergeCell ref="P30:P31"/>
    <mergeCell ref="Q30:Q31"/>
    <mergeCell ref="H32:H33"/>
    <mergeCell ref="I32:I33"/>
    <mergeCell ref="J32:J33"/>
    <mergeCell ref="K32:K33"/>
    <mergeCell ref="N30:N31"/>
    <mergeCell ref="I30:I31"/>
    <mergeCell ref="J30:J31"/>
    <mergeCell ref="L32:L33"/>
    <mergeCell ref="Q32:Q33"/>
    <mergeCell ref="A26:C27"/>
    <mergeCell ref="H26:H27"/>
    <mergeCell ref="I26:I27"/>
    <mergeCell ref="H38:H39"/>
    <mergeCell ref="F32:F33"/>
    <mergeCell ref="D30:D31"/>
    <mergeCell ref="G32:G33"/>
    <mergeCell ref="E30:E31"/>
    <mergeCell ref="D32:D33"/>
    <mergeCell ref="E32:E33"/>
    <mergeCell ref="A42:C43"/>
    <mergeCell ref="H42:H43"/>
    <mergeCell ref="I42:I43"/>
    <mergeCell ref="K38:K39"/>
    <mergeCell ref="L38:L39"/>
    <mergeCell ref="I38:I39"/>
    <mergeCell ref="D38:D39"/>
    <mergeCell ref="E38:E39"/>
    <mergeCell ref="J42:J43"/>
    <mergeCell ref="D40:D41"/>
    <mergeCell ref="K25:O25"/>
    <mergeCell ref="J38:J39"/>
    <mergeCell ref="O42:O43"/>
    <mergeCell ref="F38:F39"/>
    <mergeCell ref="G38:G39"/>
    <mergeCell ref="O38:O39"/>
    <mergeCell ref="N38:N39"/>
    <mergeCell ref="N40:N41"/>
    <mergeCell ref="O40:O41"/>
    <mergeCell ref="G30:G31"/>
  </mergeCells>
  <printOptions/>
  <pageMargins left="1.14" right="0.3937007874015748" top="0.16" bottom="0.4724409448818898" header="0.35" footer="0.5118110236220472"/>
  <pageSetup horizontalDpi="600" verticalDpi="600" orientation="portrait" paperSize="9" scale="85" r:id="rId4"/>
  <headerFooter alignWithMargins="0">
    <oddFooter>&amp;R3/7</oddFooter>
  </headerFooter>
  <ignoredErrors>
    <ignoredError sqref="L26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0"/>
  <sheetViews>
    <sheetView view="pageBreakPreview" zoomScale="145" zoomScaleSheetLayoutView="145" zoomScalePageLayoutView="0" workbookViewId="0" topLeftCell="A16">
      <selection activeCell="N23" sqref="N23"/>
    </sheetView>
  </sheetViews>
  <sheetFormatPr defaultColWidth="9.140625" defaultRowHeight="12.75"/>
  <cols>
    <col min="1" max="1" width="3.28125" style="92" customWidth="1"/>
    <col min="2" max="2" width="30.421875" style="92" customWidth="1"/>
    <col min="3" max="3" width="13.00390625" style="92" customWidth="1"/>
    <col min="4" max="6" width="2.421875" style="92" customWidth="1"/>
    <col min="7" max="7" width="2.28125" style="92" customWidth="1"/>
    <col min="8" max="8" width="3.57421875" style="92" bestFit="1" customWidth="1"/>
    <col min="9" max="9" width="7.28125" style="92" customWidth="1"/>
    <col min="10" max="10" width="5.7109375" style="92" customWidth="1"/>
    <col min="11" max="14" width="2.7109375" style="92" customWidth="1"/>
    <col min="15" max="15" width="4.00390625" style="92" customWidth="1"/>
    <col min="16" max="16" width="7.28125" style="92" customWidth="1"/>
    <col min="17" max="17" width="6.421875" style="92" customWidth="1"/>
    <col min="18" max="18" width="4.140625" style="0" customWidth="1"/>
    <col min="19" max="20" width="4.00390625" style="0" customWidth="1"/>
    <col min="21" max="21" width="5.28125" style="0" customWidth="1"/>
    <col min="22" max="22" width="3.28125" style="0" customWidth="1"/>
    <col min="23" max="24" width="4.7109375" style="0" customWidth="1"/>
    <col min="25" max="25" width="3.28125" style="0" customWidth="1"/>
  </cols>
  <sheetData>
    <row r="1" spans="1:17" ht="12.75">
      <c r="A1" s="363" t="s">
        <v>18</v>
      </c>
      <c r="B1" s="363"/>
      <c r="C1" s="363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2.75">
      <c r="A2" s="363" t="s">
        <v>51</v>
      </c>
      <c r="B2" s="363"/>
      <c r="C2" s="363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25.5" customHeight="1">
      <c r="A3" s="371" t="s">
        <v>17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</row>
    <row r="4" spans="1:17" ht="12.75">
      <c r="A4" s="40"/>
      <c r="B4" s="40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2.75">
      <c r="A5" s="372" t="s">
        <v>52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43"/>
      <c r="O5" s="43"/>
      <c r="P5" s="43"/>
      <c r="Q5" s="43"/>
    </row>
    <row r="6" spans="1:42" ht="12.75">
      <c r="A6" s="372" t="s">
        <v>53</v>
      </c>
      <c r="B6" s="372"/>
      <c r="C6" s="372"/>
      <c r="D6" s="372"/>
      <c r="E6" s="372"/>
      <c r="F6" s="372"/>
      <c r="G6" s="372"/>
      <c r="H6" s="44"/>
      <c r="I6" s="44"/>
      <c r="J6" s="42"/>
      <c r="K6" s="42"/>
      <c r="L6" s="42"/>
      <c r="M6" s="44"/>
      <c r="N6" s="44"/>
      <c r="O6" s="44"/>
      <c r="P6" s="44"/>
      <c r="Q6" s="44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7"/>
      <c r="AN6" s="7"/>
      <c r="AO6" s="6"/>
      <c r="AP6" s="6"/>
    </row>
    <row r="7" spans="1:17" ht="12.75">
      <c r="A7" s="368" t="s">
        <v>54</v>
      </c>
      <c r="B7" s="368"/>
      <c r="C7" s="368"/>
      <c r="D7" s="368"/>
      <c r="E7" s="368"/>
      <c r="F7" s="368"/>
      <c r="G7" s="368"/>
      <c r="H7" s="42"/>
      <c r="I7" s="42"/>
      <c r="J7" s="42"/>
      <c r="K7" s="46"/>
      <c r="L7" s="46"/>
      <c r="M7" s="46"/>
      <c r="N7" s="46"/>
      <c r="O7" s="46"/>
      <c r="P7" s="46"/>
      <c r="Q7" s="46"/>
    </row>
    <row r="8" spans="1:17" ht="12.75">
      <c r="A8" s="368" t="s">
        <v>55</v>
      </c>
      <c r="B8" s="368"/>
      <c r="C8" s="368"/>
      <c r="D8" s="368"/>
      <c r="E8" s="368"/>
      <c r="F8" s="368"/>
      <c r="G8" s="36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2.75">
      <c r="A9" s="372" t="s">
        <v>246</v>
      </c>
      <c r="B9" s="372"/>
      <c r="C9" s="372"/>
      <c r="D9" s="372"/>
      <c r="E9" s="372"/>
      <c r="F9" s="372"/>
      <c r="G9" s="372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27.75" customHeight="1" thickBot="1">
      <c r="A10" s="379" t="s">
        <v>50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</row>
    <row r="11" spans="1:17" ht="13.5" customHeight="1">
      <c r="A11" s="374" t="s">
        <v>11</v>
      </c>
      <c r="B11" s="369" t="s">
        <v>6</v>
      </c>
      <c r="C11" s="422" t="s">
        <v>56</v>
      </c>
      <c r="D11" s="397" t="s">
        <v>91</v>
      </c>
      <c r="E11" s="398"/>
      <c r="F11" s="398"/>
      <c r="G11" s="398"/>
      <c r="H11" s="398"/>
      <c r="I11" s="398"/>
      <c r="J11" s="399"/>
      <c r="K11" s="397" t="s">
        <v>92</v>
      </c>
      <c r="L11" s="398"/>
      <c r="M11" s="398"/>
      <c r="N11" s="398"/>
      <c r="O11" s="398"/>
      <c r="P11" s="398"/>
      <c r="Q11" s="399"/>
    </row>
    <row r="12" spans="1:31" ht="12.75" customHeight="1">
      <c r="A12" s="383"/>
      <c r="B12" s="370"/>
      <c r="C12" s="423"/>
      <c r="D12" s="364" t="s">
        <v>7</v>
      </c>
      <c r="E12" s="366" t="s">
        <v>8</v>
      </c>
      <c r="F12" s="366" t="s">
        <v>9</v>
      </c>
      <c r="G12" s="366" t="s">
        <v>10</v>
      </c>
      <c r="H12" s="366" t="s">
        <v>28</v>
      </c>
      <c r="I12" s="366" t="s">
        <v>12</v>
      </c>
      <c r="J12" s="380" t="s">
        <v>13</v>
      </c>
      <c r="K12" s="364" t="s">
        <v>7</v>
      </c>
      <c r="L12" s="366" t="s">
        <v>8</v>
      </c>
      <c r="M12" s="366" t="s">
        <v>9</v>
      </c>
      <c r="N12" s="366" t="s">
        <v>10</v>
      </c>
      <c r="O12" s="366" t="s">
        <v>28</v>
      </c>
      <c r="P12" s="366" t="s">
        <v>12</v>
      </c>
      <c r="Q12" s="380" t="s">
        <v>13</v>
      </c>
      <c r="Z12" s="272" t="s">
        <v>171</v>
      </c>
      <c r="AB12" s="272" t="s">
        <v>172</v>
      </c>
      <c r="AD12" s="39"/>
      <c r="AE12" s="272" t="s">
        <v>173</v>
      </c>
    </row>
    <row r="13" spans="1:32" ht="13.5" thickBot="1">
      <c r="A13" s="365"/>
      <c r="B13" s="367"/>
      <c r="C13" s="425"/>
      <c r="D13" s="365"/>
      <c r="E13" s="367"/>
      <c r="F13" s="367"/>
      <c r="G13" s="367"/>
      <c r="H13" s="367"/>
      <c r="I13" s="367"/>
      <c r="J13" s="381"/>
      <c r="K13" s="365"/>
      <c r="L13" s="367"/>
      <c r="M13" s="367"/>
      <c r="N13" s="367"/>
      <c r="O13" s="367"/>
      <c r="P13" s="367"/>
      <c r="Q13" s="381"/>
      <c r="S13" s="178" t="s">
        <v>171</v>
      </c>
      <c r="T13" s="171" t="s">
        <v>172</v>
      </c>
      <c r="U13" s="171" t="s">
        <v>173</v>
      </c>
      <c r="V13" s="171"/>
      <c r="W13" s="171" t="s">
        <v>174</v>
      </c>
      <c r="X13" s="171" t="s">
        <v>175</v>
      </c>
      <c r="Z13" s="353" t="s">
        <v>7</v>
      </c>
      <c r="AA13" s="169" t="s">
        <v>269</v>
      </c>
      <c r="AB13" s="353" t="s">
        <v>7</v>
      </c>
      <c r="AC13" s="169" t="s">
        <v>269</v>
      </c>
      <c r="AD13" s="50"/>
      <c r="AE13" s="353" t="s">
        <v>7</v>
      </c>
      <c r="AF13" s="169" t="s">
        <v>269</v>
      </c>
    </row>
    <row r="14" spans="1:27" ht="12.75">
      <c r="A14" s="284">
        <v>1</v>
      </c>
      <c r="B14" s="193" t="s">
        <v>252</v>
      </c>
      <c r="C14" s="51" t="s">
        <v>336</v>
      </c>
      <c r="D14" s="79">
        <v>2</v>
      </c>
      <c r="E14" s="64"/>
      <c r="F14" s="64">
        <v>2</v>
      </c>
      <c r="G14" s="65"/>
      <c r="H14" s="97">
        <f>J14*25-D14*14-(SUM(E14:G14)*14)</f>
        <v>69</v>
      </c>
      <c r="I14" s="64" t="s">
        <v>7</v>
      </c>
      <c r="J14" s="66">
        <v>5</v>
      </c>
      <c r="K14" s="212"/>
      <c r="L14" s="351"/>
      <c r="M14" s="351"/>
      <c r="N14" s="351"/>
      <c r="O14" s="351"/>
      <c r="P14" s="351"/>
      <c r="Q14" s="275"/>
      <c r="S14">
        <f aca="true" t="shared" si="0" ref="S14:S20">IF(LEFT($C14,2)="DF",(SUM(D14:G14,K14:N14)*14),"")</f>
        <v>56</v>
      </c>
      <c r="T14">
        <f>IF(LEFT($C14,2)="DS",(SUM(D14:G14,K14:N14)*14),"")</f>
      </c>
      <c r="U14">
        <f>IF(LEFT($C14,2)="DC",(SUM(D14:G14,K14:N14)*14),"")</f>
      </c>
      <c r="V14" s="2"/>
      <c r="W14">
        <f>SUM(S14:V14)</f>
        <v>56</v>
      </c>
      <c r="X14" s="171"/>
      <c r="Z14">
        <f>D14*14</f>
        <v>28</v>
      </c>
      <c r="AA14">
        <f>F14*14</f>
        <v>28</v>
      </c>
    </row>
    <row r="15" spans="1:29" ht="12.75">
      <c r="A15" s="287">
        <v>2</v>
      </c>
      <c r="B15" s="191" t="s">
        <v>96</v>
      </c>
      <c r="C15" s="100" t="s">
        <v>224</v>
      </c>
      <c r="D15" s="61">
        <v>2</v>
      </c>
      <c r="E15" s="62"/>
      <c r="F15" s="280">
        <v>1</v>
      </c>
      <c r="G15" s="62"/>
      <c r="H15" s="54">
        <f>J15*25-D15*14-(SUM(E15:G15)*14)</f>
        <v>83</v>
      </c>
      <c r="I15" s="62" t="s">
        <v>60</v>
      </c>
      <c r="J15" s="63">
        <v>5</v>
      </c>
      <c r="K15" s="61"/>
      <c r="L15" s="62"/>
      <c r="M15" s="62"/>
      <c r="N15" s="65"/>
      <c r="O15" s="64"/>
      <c r="P15" s="64"/>
      <c r="Q15" s="101"/>
      <c r="S15">
        <f t="shared" si="0"/>
      </c>
      <c r="T15">
        <f>IF(LEFT($C15,2)="DS",(SUM(D15:G15,K15:N15)*14),"")</f>
        <v>42</v>
      </c>
      <c r="U15">
        <f aca="true" t="shared" si="1" ref="U15:U25">IF(LEFT($C15,2)="DC",(SUM(D15:G15,K15:N15)*14),"")</f>
      </c>
      <c r="V15" s="2"/>
      <c r="W15">
        <f aca="true" t="shared" si="2" ref="W15:W26">SUM(S15:V15)</f>
        <v>42</v>
      </c>
      <c r="AB15">
        <f>D15*14</f>
        <v>28</v>
      </c>
      <c r="AC15">
        <f>F15*14</f>
        <v>14</v>
      </c>
    </row>
    <row r="16" spans="1:29" ht="12.75">
      <c r="A16" s="287">
        <v>3</v>
      </c>
      <c r="B16" s="190" t="s">
        <v>170</v>
      </c>
      <c r="C16" s="100" t="s">
        <v>337</v>
      </c>
      <c r="D16" s="79">
        <v>2</v>
      </c>
      <c r="E16" s="64"/>
      <c r="F16" s="64">
        <v>2</v>
      </c>
      <c r="G16" s="65"/>
      <c r="H16" s="97">
        <f>J16*25-D16*14-(SUM(E16:G16)*14)</f>
        <v>69</v>
      </c>
      <c r="I16" s="64" t="s">
        <v>60</v>
      </c>
      <c r="J16" s="66">
        <v>5</v>
      </c>
      <c r="K16" s="61"/>
      <c r="L16" s="62"/>
      <c r="M16" s="62"/>
      <c r="N16" s="65"/>
      <c r="O16" s="64"/>
      <c r="P16" s="64"/>
      <c r="Q16" s="101"/>
      <c r="S16">
        <f t="shared" si="0"/>
      </c>
      <c r="T16">
        <f>IF(LEFT($C16,2)="DS",(SUM(D16:G16,K16:N16)*14),"")</f>
        <v>56</v>
      </c>
      <c r="U16">
        <f t="shared" si="1"/>
      </c>
      <c r="V16" s="2"/>
      <c r="W16">
        <f t="shared" si="2"/>
        <v>56</v>
      </c>
      <c r="AB16">
        <f>D16*14</f>
        <v>28</v>
      </c>
      <c r="AC16">
        <f>F16*14</f>
        <v>28</v>
      </c>
    </row>
    <row r="17" spans="1:27" ht="22.5">
      <c r="A17" s="287">
        <v>4</v>
      </c>
      <c r="B17" s="191" t="s">
        <v>209</v>
      </c>
      <c r="C17" s="100" t="s">
        <v>338</v>
      </c>
      <c r="D17" s="79">
        <v>2</v>
      </c>
      <c r="E17" s="279">
        <v>2</v>
      </c>
      <c r="F17" s="64"/>
      <c r="G17" s="65"/>
      <c r="H17" s="97">
        <f>J17*25-D17*14-(SUM(E17:G17)*14)</f>
        <v>69</v>
      </c>
      <c r="I17" s="64" t="s">
        <v>60</v>
      </c>
      <c r="J17" s="66">
        <v>5</v>
      </c>
      <c r="K17" s="79"/>
      <c r="L17" s="64"/>
      <c r="M17" s="64"/>
      <c r="N17" s="65"/>
      <c r="O17" s="64"/>
      <c r="P17" s="64"/>
      <c r="Q17" s="101"/>
      <c r="S17">
        <f t="shared" si="0"/>
        <v>56</v>
      </c>
      <c r="T17">
        <f>IF(LEFT($C17,2)="DS",(SUM(D17:G17,K17:N17)*14),"")</f>
      </c>
      <c r="U17">
        <f t="shared" si="1"/>
      </c>
      <c r="V17" s="2"/>
      <c r="W17">
        <f t="shared" si="2"/>
        <v>56</v>
      </c>
      <c r="Z17">
        <f>D17*14</f>
        <v>28</v>
      </c>
      <c r="AA17">
        <f>E17*14</f>
        <v>28</v>
      </c>
    </row>
    <row r="18" spans="1:29" ht="12.75">
      <c r="A18" s="287">
        <v>5</v>
      </c>
      <c r="B18" s="262" t="s">
        <v>233</v>
      </c>
      <c r="C18" s="349" t="s">
        <v>339</v>
      </c>
      <c r="D18" s="260">
        <v>1</v>
      </c>
      <c r="E18" s="350"/>
      <c r="F18" s="261">
        <v>2</v>
      </c>
      <c r="G18" s="57"/>
      <c r="H18" s="188">
        <f>J18*25-D18*14-(SUM(E18:G18)*14)</f>
        <v>83</v>
      </c>
      <c r="I18" s="261" t="s">
        <v>60</v>
      </c>
      <c r="J18" s="345">
        <v>5</v>
      </c>
      <c r="K18" s="260"/>
      <c r="L18" s="261"/>
      <c r="M18" s="261"/>
      <c r="N18" s="57"/>
      <c r="O18" s="261"/>
      <c r="P18" s="261"/>
      <c r="Q18" s="154"/>
      <c r="S18">
        <f t="shared" si="0"/>
      </c>
      <c r="T18">
        <f>IF(LEFT($C18,2)="DS",(SUM(D18:G18,K18:N18)*14),"")</f>
        <v>42</v>
      </c>
      <c r="U18">
        <f>IF(LEFT($C18,2)="DC",(SUM(D18:G18,K18:N18)*14),"")</f>
      </c>
      <c r="V18" s="2"/>
      <c r="W18">
        <f>SUM(S18:V18)</f>
        <v>42</v>
      </c>
      <c r="AB18">
        <f>D18*14</f>
        <v>14</v>
      </c>
      <c r="AC18">
        <f>F18*14</f>
        <v>28</v>
      </c>
    </row>
    <row r="19" spans="1:29" ht="12.75">
      <c r="A19" s="287">
        <v>6</v>
      </c>
      <c r="B19" s="189" t="s">
        <v>95</v>
      </c>
      <c r="C19" s="100" t="s">
        <v>255</v>
      </c>
      <c r="D19" s="52"/>
      <c r="E19" s="60"/>
      <c r="F19" s="60"/>
      <c r="G19" s="62"/>
      <c r="H19" s="60"/>
      <c r="I19" s="60"/>
      <c r="J19" s="55"/>
      <c r="K19" s="52">
        <v>1</v>
      </c>
      <c r="L19" s="60">
        <v>1</v>
      </c>
      <c r="M19" s="60"/>
      <c r="N19" s="62"/>
      <c r="O19" s="54">
        <f>Q19*25-K19*10-(SUM(L19:N19)*10)</f>
        <v>30</v>
      </c>
      <c r="P19" s="60" t="s">
        <v>60</v>
      </c>
      <c r="Q19" s="51">
        <v>2</v>
      </c>
      <c r="S19">
        <f t="shared" si="0"/>
      </c>
      <c r="T19">
        <f>IF(LEFT($C19,2)="DS",(SUM(K19:N19)*10),"")</f>
        <v>20</v>
      </c>
      <c r="U19">
        <f t="shared" si="1"/>
      </c>
      <c r="V19" s="2"/>
      <c r="W19">
        <f t="shared" si="2"/>
        <v>20</v>
      </c>
      <c r="AB19">
        <f>K19*10</f>
        <v>10</v>
      </c>
      <c r="AC19">
        <v>10</v>
      </c>
    </row>
    <row r="20" spans="1:33" ht="22.5">
      <c r="A20" s="287">
        <v>7</v>
      </c>
      <c r="B20" s="189" t="s">
        <v>93</v>
      </c>
      <c r="C20" s="51" t="s">
        <v>340</v>
      </c>
      <c r="D20" s="79"/>
      <c r="E20" s="64"/>
      <c r="F20" s="64"/>
      <c r="G20" s="65"/>
      <c r="H20" s="64"/>
      <c r="I20" s="64"/>
      <c r="J20" s="66"/>
      <c r="K20" s="52">
        <v>2</v>
      </c>
      <c r="L20" s="60"/>
      <c r="M20" s="60">
        <v>2</v>
      </c>
      <c r="N20" s="60"/>
      <c r="O20" s="54">
        <f>Q20*25-K20*10-(SUM(L20:N20)*10)</f>
        <v>60</v>
      </c>
      <c r="P20" s="60" t="s">
        <v>60</v>
      </c>
      <c r="Q20" s="51">
        <v>4</v>
      </c>
      <c r="S20">
        <f t="shared" si="0"/>
      </c>
      <c r="T20">
        <f>IF(LEFT($C20,2)="DS",(SUM(K20:N20)*10),"")</f>
        <v>40</v>
      </c>
      <c r="U20">
        <f>IF(LEFT($C20,2)="DC",(SUM(D20:G20,K20:N20)*14),"")</f>
      </c>
      <c r="V20" s="2"/>
      <c r="W20">
        <f t="shared" si="2"/>
        <v>40</v>
      </c>
      <c r="AB20">
        <v>20</v>
      </c>
      <c r="AC20" s="13">
        <v>20</v>
      </c>
      <c r="AG20" s="13"/>
    </row>
    <row r="21" spans="1:33" s="13" customFormat="1" ht="12.75">
      <c r="A21" s="287">
        <v>8</v>
      </c>
      <c r="B21" s="191" t="s">
        <v>94</v>
      </c>
      <c r="C21" s="100" t="s">
        <v>341</v>
      </c>
      <c r="D21" s="56"/>
      <c r="E21" s="57"/>
      <c r="F21" s="57"/>
      <c r="G21" s="57"/>
      <c r="H21" s="97"/>
      <c r="I21" s="57"/>
      <c r="J21" s="58"/>
      <c r="K21" s="79">
        <v>2</v>
      </c>
      <c r="L21" s="64">
        <v>1</v>
      </c>
      <c r="M21" s="64"/>
      <c r="N21" s="65"/>
      <c r="O21" s="54">
        <f>Q21*25-K21*10-(SUM(L21:N21)*10)</f>
        <v>45</v>
      </c>
      <c r="P21" s="64" t="s">
        <v>60</v>
      </c>
      <c r="Q21" s="101">
        <v>3</v>
      </c>
      <c r="S21">
        <f>IF(LEFT($C21,2)="DF",(SUM(D21:G21,K21:N21)*10),"")</f>
        <v>30</v>
      </c>
      <c r="T21">
        <f>IF(LEFT($C21,2)="DS",(SUM(K21:N21)*12),"")</f>
      </c>
      <c r="U21">
        <f t="shared" si="1"/>
      </c>
      <c r="V21" s="2"/>
      <c r="W21">
        <f t="shared" si="2"/>
        <v>30</v>
      </c>
      <c r="X21"/>
      <c r="Z21">
        <v>20</v>
      </c>
      <c r="AA21" s="270">
        <v>10</v>
      </c>
      <c r="AB21"/>
      <c r="AC21"/>
      <c r="AD21" s="270"/>
      <c r="AE21" s="270"/>
      <c r="AF21" s="270"/>
      <c r="AG21"/>
    </row>
    <row r="22" spans="1:33" ht="22.5">
      <c r="A22" s="287">
        <v>9</v>
      </c>
      <c r="B22" s="191" t="s">
        <v>236</v>
      </c>
      <c r="C22" s="100" t="s">
        <v>256</v>
      </c>
      <c r="D22" s="61"/>
      <c r="E22" s="62"/>
      <c r="F22" s="54"/>
      <c r="G22" s="54"/>
      <c r="H22" s="54"/>
      <c r="I22" s="54"/>
      <c r="J22" s="219"/>
      <c r="K22" s="52">
        <v>1</v>
      </c>
      <c r="L22" s="53"/>
      <c r="M22" s="53">
        <v>2</v>
      </c>
      <c r="N22" s="53"/>
      <c r="O22" s="54">
        <f>Q22*25-K22*10-(SUM(L22:N22)*10)</f>
        <v>45</v>
      </c>
      <c r="P22" s="53" t="s">
        <v>60</v>
      </c>
      <c r="Q22" s="51">
        <v>3</v>
      </c>
      <c r="S22">
        <f>IF(LEFT($C22,2)="DF",(SUM(D22:G22,K22:N22)*14),"")</f>
      </c>
      <c r="T22">
        <f>IF(LEFT($C22,2)="DS",(SUM(K22:N22)*10),"")</f>
        <v>30</v>
      </c>
      <c r="U22">
        <f t="shared" si="1"/>
      </c>
      <c r="V22" s="2"/>
      <c r="W22">
        <f t="shared" si="2"/>
        <v>30</v>
      </c>
      <c r="AB22">
        <v>10</v>
      </c>
      <c r="AC22">
        <v>20</v>
      </c>
      <c r="AG22" s="270"/>
    </row>
    <row r="23" spans="1:29" ht="12.75">
      <c r="A23" s="287">
        <v>10</v>
      </c>
      <c r="B23" s="190" t="s">
        <v>97</v>
      </c>
      <c r="C23" s="100" t="s">
        <v>115</v>
      </c>
      <c r="D23" s="61"/>
      <c r="E23" s="62"/>
      <c r="F23" s="54"/>
      <c r="G23" s="54"/>
      <c r="H23" s="54"/>
      <c r="I23" s="54"/>
      <c r="J23" s="219"/>
      <c r="K23" s="52">
        <v>2</v>
      </c>
      <c r="L23" s="53"/>
      <c r="M23" s="53">
        <v>1</v>
      </c>
      <c r="N23" s="54"/>
      <c r="O23" s="54">
        <f>Q23*25-K23*10-(SUM(L23:N23)*10)</f>
        <v>45</v>
      </c>
      <c r="P23" s="53" t="s">
        <v>60</v>
      </c>
      <c r="Q23" s="51">
        <v>3</v>
      </c>
      <c r="S23">
        <f>IF(LEFT($C23,2)="DF",(SUM(D23:G23,K23:N23)*14),"")</f>
      </c>
      <c r="T23">
        <f>IF(LEFT($C23,2)="DS",(SUM(K23:N23)*10),"")</f>
        <v>30</v>
      </c>
      <c r="U23">
        <f t="shared" si="1"/>
      </c>
      <c r="V23" s="2"/>
      <c r="W23">
        <f t="shared" si="2"/>
        <v>30</v>
      </c>
      <c r="AB23">
        <f>K23*10</f>
        <v>20</v>
      </c>
      <c r="AC23">
        <v>10</v>
      </c>
    </row>
    <row r="24" spans="1:29" ht="12.75">
      <c r="A24" s="287">
        <v>11</v>
      </c>
      <c r="B24" s="190" t="s">
        <v>264</v>
      </c>
      <c r="C24" s="51" t="s">
        <v>342</v>
      </c>
      <c r="D24" s="61"/>
      <c r="E24" s="62"/>
      <c r="F24" s="54"/>
      <c r="G24" s="54"/>
      <c r="H24" s="54"/>
      <c r="I24" s="54"/>
      <c r="J24" s="219"/>
      <c r="K24" s="453" t="s">
        <v>265</v>
      </c>
      <c r="L24" s="454"/>
      <c r="M24" s="454"/>
      <c r="N24" s="454"/>
      <c r="O24" s="455"/>
      <c r="P24" s="60" t="s">
        <v>7</v>
      </c>
      <c r="Q24" s="51">
        <v>3</v>
      </c>
      <c r="T24">
        <v>44</v>
      </c>
      <c r="V24" s="2"/>
      <c r="W24">
        <f t="shared" si="2"/>
        <v>44</v>
      </c>
      <c r="AC24">
        <v>44</v>
      </c>
    </row>
    <row r="25" spans="1:29" ht="13.5" thickBot="1">
      <c r="A25" s="288">
        <v>12</v>
      </c>
      <c r="B25" s="289" t="s">
        <v>194</v>
      </c>
      <c r="C25" s="152" t="s">
        <v>343</v>
      </c>
      <c r="D25" s="290"/>
      <c r="E25" s="158"/>
      <c r="F25" s="158"/>
      <c r="G25" s="156"/>
      <c r="H25" s="158"/>
      <c r="I25" s="158"/>
      <c r="J25" s="153"/>
      <c r="K25" s="444" t="s">
        <v>265</v>
      </c>
      <c r="L25" s="445"/>
      <c r="M25" s="445"/>
      <c r="N25" s="445"/>
      <c r="O25" s="446"/>
      <c r="P25" s="282" t="s">
        <v>7</v>
      </c>
      <c r="Q25" s="153">
        <v>5</v>
      </c>
      <c r="S25">
        <f>IF(LEFT($C25,2)="DF",(SUM(D25:G25,K25:N25)*14),"")</f>
      </c>
      <c r="T25">
        <v>44</v>
      </c>
      <c r="U25">
        <f t="shared" si="1"/>
      </c>
      <c r="V25" s="2"/>
      <c r="W25">
        <v>44</v>
      </c>
      <c r="AC25">
        <v>44</v>
      </c>
    </row>
    <row r="26" spans="1:23" ht="12.75">
      <c r="A26" s="406" t="s">
        <v>19</v>
      </c>
      <c r="B26" s="407"/>
      <c r="C26" s="408"/>
      <c r="D26" s="79">
        <f>SUM(D14:D23)</f>
        <v>9</v>
      </c>
      <c r="E26" s="64">
        <f>SUM(E14:E23)</f>
        <v>2</v>
      </c>
      <c r="F26" s="64">
        <f>SUM(F14:F23)</f>
        <v>7</v>
      </c>
      <c r="G26" s="66">
        <f>SUM(G15:G23)</f>
        <v>0</v>
      </c>
      <c r="H26" s="382">
        <f>SUM(H15:H23)</f>
        <v>304</v>
      </c>
      <c r="I26" s="370" t="s">
        <v>314</v>
      </c>
      <c r="J26" s="426">
        <f>SUM(J14:J25)</f>
        <v>25</v>
      </c>
      <c r="K26" s="79">
        <f>SUM(K15:K23)</f>
        <v>8</v>
      </c>
      <c r="L26" s="64">
        <f>SUM(L15:L23)</f>
        <v>2</v>
      </c>
      <c r="M26" s="80">
        <f>SUM(M15:M23)</f>
        <v>5</v>
      </c>
      <c r="N26" s="66">
        <f>SUM(N15:N23)</f>
        <v>0</v>
      </c>
      <c r="O26" s="382">
        <f>SUM(O15:O23)</f>
        <v>225</v>
      </c>
      <c r="P26" s="370" t="s">
        <v>240</v>
      </c>
      <c r="Q26" s="389">
        <f>SUM(Q15:Q25)</f>
        <v>23</v>
      </c>
      <c r="S26">
        <f>IF(LEFT($C26,2)="DF",(SUM(K26:N26)*14),"")</f>
      </c>
      <c r="T26">
        <f>IF(LEFT($C26,2)="DS",(SUM(K26:N26)*14),"")</f>
      </c>
      <c r="U26">
        <f>IF(LEFT($C26,2)="DC",(SUM(K26:N26)*14),"")</f>
      </c>
      <c r="V26" s="2"/>
      <c r="W26">
        <f t="shared" si="2"/>
        <v>0</v>
      </c>
    </row>
    <row r="27" spans="1:22" ht="13.5" thickBot="1">
      <c r="A27" s="395"/>
      <c r="B27" s="396"/>
      <c r="C27" s="409"/>
      <c r="D27" s="385">
        <f>SUM(D26:G26)</f>
        <v>18</v>
      </c>
      <c r="E27" s="386"/>
      <c r="F27" s="386"/>
      <c r="G27" s="386"/>
      <c r="H27" s="378"/>
      <c r="I27" s="367" t="s">
        <v>70</v>
      </c>
      <c r="J27" s="376"/>
      <c r="K27" s="385">
        <f>SUM(K26:N26)</f>
        <v>15</v>
      </c>
      <c r="L27" s="386"/>
      <c r="M27" s="386"/>
      <c r="N27" s="386"/>
      <c r="O27" s="378"/>
      <c r="P27" s="367"/>
      <c r="Q27" s="376"/>
      <c r="T27" s="59"/>
      <c r="U27" s="2"/>
      <c r="V27" s="2"/>
    </row>
    <row r="28" spans="1:17" ht="15.75" customHeight="1" thickBot="1">
      <c r="A28" s="75"/>
      <c r="B28" s="75"/>
      <c r="C28" s="75"/>
      <c r="D28" s="76"/>
      <c r="E28" s="76"/>
      <c r="F28" s="76"/>
      <c r="G28" s="76"/>
      <c r="H28" s="76"/>
      <c r="I28" s="77"/>
      <c r="J28" s="76"/>
      <c r="K28" s="76"/>
      <c r="L28" s="76"/>
      <c r="M28" s="76"/>
      <c r="N28" s="76"/>
      <c r="O28" s="76"/>
      <c r="P28" s="77"/>
      <c r="Q28" s="76"/>
    </row>
    <row r="29" spans="1:17" ht="12.75" customHeight="1">
      <c r="A29" s="420" t="s">
        <v>11</v>
      </c>
      <c r="B29" s="369" t="s">
        <v>71</v>
      </c>
      <c r="C29" s="422" t="s">
        <v>56</v>
      </c>
      <c r="D29" s="397" t="s">
        <v>91</v>
      </c>
      <c r="E29" s="398"/>
      <c r="F29" s="398"/>
      <c r="G29" s="398"/>
      <c r="H29" s="398"/>
      <c r="I29" s="398"/>
      <c r="J29" s="399"/>
      <c r="K29" s="397" t="s">
        <v>92</v>
      </c>
      <c r="L29" s="398"/>
      <c r="M29" s="398"/>
      <c r="N29" s="398"/>
      <c r="O29" s="398"/>
      <c r="P29" s="398"/>
      <c r="Q29" s="399"/>
    </row>
    <row r="30" spans="1:17" ht="12.75" customHeight="1">
      <c r="A30" s="421"/>
      <c r="B30" s="370"/>
      <c r="C30" s="423"/>
      <c r="D30" s="383" t="s">
        <v>7</v>
      </c>
      <c r="E30" s="370" t="s">
        <v>8</v>
      </c>
      <c r="F30" s="370" t="s">
        <v>9</v>
      </c>
      <c r="G30" s="366" t="s">
        <v>10</v>
      </c>
      <c r="H30" s="370" t="s">
        <v>28</v>
      </c>
      <c r="I30" s="370" t="s">
        <v>12</v>
      </c>
      <c r="J30" s="387" t="s">
        <v>13</v>
      </c>
      <c r="K30" s="383" t="s">
        <v>7</v>
      </c>
      <c r="L30" s="370" t="s">
        <v>8</v>
      </c>
      <c r="M30" s="370" t="s">
        <v>9</v>
      </c>
      <c r="N30" s="366" t="s">
        <v>10</v>
      </c>
      <c r="O30" s="370" t="s">
        <v>28</v>
      </c>
      <c r="P30" s="370" t="s">
        <v>12</v>
      </c>
      <c r="Q30" s="387" t="s">
        <v>13</v>
      </c>
    </row>
    <row r="31" spans="1:32" ht="11.25" customHeight="1" thickBot="1">
      <c r="A31" s="443"/>
      <c r="B31" s="367"/>
      <c r="C31" s="425"/>
      <c r="D31" s="365"/>
      <c r="E31" s="367"/>
      <c r="F31" s="367"/>
      <c r="G31" s="367"/>
      <c r="H31" s="367"/>
      <c r="I31" s="367"/>
      <c r="J31" s="381"/>
      <c r="K31" s="365"/>
      <c r="L31" s="367"/>
      <c r="M31" s="367"/>
      <c r="N31" s="367"/>
      <c r="O31" s="367"/>
      <c r="P31" s="367"/>
      <c r="Q31" s="381"/>
      <c r="S31" s="178" t="s">
        <v>171</v>
      </c>
      <c r="T31" s="171" t="s">
        <v>172</v>
      </c>
      <c r="U31" s="171" t="s">
        <v>173</v>
      </c>
      <c r="V31" s="171"/>
      <c r="W31" s="171" t="s">
        <v>174</v>
      </c>
      <c r="X31" s="171" t="s">
        <v>175</v>
      </c>
      <c r="Z31" s="353" t="s">
        <v>7</v>
      </c>
      <c r="AA31" s="169" t="s">
        <v>269</v>
      </c>
      <c r="AB31" s="353" t="s">
        <v>7</v>
      </c>
      <c r="AC31" s="169" t="s">
        <v>269</v>
      </c>
      <c r="AD31" s="50"/>
      <c r="AE31" s="353" t="s">
        <v>7</v>
      </c>
      <c r="AF31" s="169" t="s">
        <v>269</v>
      </c>
    </row>
    <row r="32" spans="1:32" ht="12" customHeight="1">
      <c r="A32" s="284">
        <v>13</v>
      </c>
      <c r="B32" s="193" t="s">
        <v>260</v>
      </c>
      <c r="C32" s="51" t="s">
        <v>257</v>
      </c>
      <c r="D32" s="448">
        <v>2</v>
      </c>
      <c r="E32" s="450"/>
      <c r="F32" s="450">
        <v>2</v>
      </c>
      <c r="G32" s="366"/>
      <c r="H32" s="366">
        <v>69</v>
      </c>
      <c r="I32" s="366" t="s">
        <v>7</v>
      </c>
      <c r="J32" s="380">
        <v>5</v>
      </c>
      <c r="K32" s="412"/>
      <c r="L32" s="404"/>
      <c r="M32" s="404"/>
      <c r="N32" s="404"/>
      <c r="O32" s="404"/>
      <c r="P32" s="404"/>
      <c r="Q32" s="403"/>
      <c r="S32">
        <f aca="true" t="shared" si="3" ref="S32:S37">IF(LEFT($C32,2)="DF",(SUM(D32:G32,K32:N32)*14),"")</f>
      </c>
      <c r="T32">
        <f>IF(LEFT($C32,2)="DS",(SUM(D32:G32,K32:N32)*14),"")</f>
      </c>
      <c r="U32">
        <f>IF(LEFT($C32,2)="DC",(SUM(D32:G32,K32:N32)*14),"")</f>
        <v>56</v>
      </c>
      <c r="X32" s="78">
        <f>SUM(S32:U32)</f>
        <v>56</v>
      </c>
      <c r="AE32">
        <v>28</v>
      </c>
      <c r="AF32">
        <v>28</v>
      </c>
    </row>
    <row r="33" spans="1:20" ht="12" customHeight="1" thickBot="1">
      <c r="A33" s="284">
        <v>14</v>
      </c>
      <c r="B33" s="193" t="s">
        <v>207</v>
      </c>
      <c r="C33" s="51" t="s">
        <v>258</v>
      </c>
      <c r="D33" s="449"/>
      <c r="E33" s="451"/>
      <c r="F33" s="451"/>
      <c r="G33" s="367"/>
      <c r="H33" s="367"/>
      <c r="I33" s="367"/>
      <c r="J33" s="381"/>
      <c r="K33" s="413"/>
      <c r="L33" s="405"/>
      <c r="M33" s="405"/>
      <c r="N33" s="405"/>
      <c r="O33" s="405"/>
      <c r="P33" s="405"/>
      <c r="Q33" s="427"/>
      <c r="S33">
        <f t="shared" si="3"/>
      </c>
      <c r="T33">
        <f>IF(LEFT($C33,2)="DS",(SUM(D33:G33,K33:N33)*14),"")</f>
      </c>
    </row>
    <row r="34" spans="1:32" ht="12" customHeight="1">
      <c r="A34" s="151">
        <v>15</v>
      </c>
      <c r="B34" s="348" t="s">
        <v>237</v>
      </c>
      <c r="C34" s="159" t="s">
        <v>259</v>
      </c>
      <c r="D34" s="151"/>
      <c r="E34" s="277"/>
      <c r="F34" s="277"/>
      <c r="G34" s="277"/>
      <c r="H34" s="277"/>
      <c r="I34" s="277"/>
      <c r="J34" s="278"/>
      <c r="K34" s="447">
        <v>2</v>
      </c>
      <c r="L34" s="414">
        <v>2</v>
      </c>
      <c r="M34" s="414"/>
      <c r="N34" s="414"/>
      <c r="O34" s="414">
        <f>Q34*25-K34*10-(SUM(L34:N34)*10)</f>
        <v>60</v>
      </c>
      <c r="P34" s="414" t="s">
        <v>7</v>
      </c>
      <c r="Q34" s="417">
        <v>4</v>
      </c>
      <c r="S34">
        <f>IF(LEFT($C34,2)="DF",(SUM(K34:N34,#REF!)*14),"")</f>
      </c>
      <c r="T34">
        <f>IF(LEFT($C34,2)="DS",(SUM(D34:G34,K34:N34)*14),"")</f>
      </c>
      <c r="U34">
        <f>IF(LEFT($C34,2)="DC",(SUM(D34:G34,K34:N34)*10),"")</f>
        <v>40</v>
      </c>
      <c r="V34" s="2"/>
      <c r="X34" s="78">
        <f>SUM(S34:U34)</f>
        <v>40</v>
      </c>
      <c r="AE34">
        <v>20</v>
      </c>
      <c r="AF34">
        <v>20</v>
      </c>
    </row>
    <row r="35" spans="1:24" ht="12" customHeight="1">
      <c r="A35" s="284">
        <v>16</v>
      </c>
      <c r="B35" s="193" t="s">
        <v>110</v>
      </c>
      <c r="C35" s="51" t="s">
        <v>268</v>
      </c>
      <c r="D35" s="212"/>
      <c r="E35" s="274"/>
      <c r="F35" s="274"/>
      <c r="G35" s="274"/>
      <c r="H35" s="274"/>
      <c r="I35" s="274"/>
      <c r="J35" s="275"/>
      <c r="K35" s="412"/>
      <c r="L35" s="404"/>
      <c r="M35" s="404"/>
      <c r="N35" s="404"/>
      <c r="O35" s="404">
        <f>Q35*25-K35*12-(SUM(L35:N35)*12)</f>
        <v>0</v>
      </c>
      <c r="P35" s="404"/>
      <c r="Q35" s="403"/>
      <c r="S35">
        <f>IF(LEFT($C35,2)="DF",(SUM(K35:N35,#REF!)*14),"")</f>
      </c>
      <c r="V35" s="2"/>
      <c r="X35" s="78"/>
    </row>
    <row r="36" spans="1:29" ht="12" customHeight="1">
      <c r="A36" s="284">
        <v>17</v>
      </c>
      <c r="B36" s="193" t="s">
        <v>206</v>
      </c>
      <c r="C36" s="51" t="s">
        <v>250</v>
      </c>
      <c r="D36" s="364"/>
      <c r="E36" s="366"/>
      <c r="F36" s="366"/>
      <c r="G36" s="366"/>
      <c r="H36" s="366"/>
      <c r="I36" s="366"/>
      <c r="J36" s="380"/>
      <c r="K36" s="441">
        <v>1</v>
      </c>
      <c r="L36" s="432">
        <v>2</v>
      </c>
      <c r="M36" s="432"/>
      <c r="N36" s="404"/>
      <c r="O36" s="404">
        <f>Q36*25-K36*10-(SUM(L36:N36)*10)</f>
        <v>45</v>
      </c>
      <c r="P36" s="404" t="s">
        <v>7</v>
      </c>
      <c r="Q36" s="403">
        <v>3</v>
      </c>
      <c r="S36">
        <f t="shared" si="3"/>
      </c>
      <c r="T36">
        <f>IF(LEFT($C36,2)="DS",(SUM(D36:G36,K36:N36)*10),"")</f>
        <v>30</v>
      </c>
      <c r="U36">
        <f>IF(LEFT($C36,2)="DC",(SUM(K36:N36)*12),"")</f>
      </c>
      <c r="X36" s="78">
        <f>SUM(S36:U36)</f>
        <v>30</v>
      </c>
      <c r="AB36">
        <v>10</v>
      </c>
      <c r="AC36">
        <v>20</v>
      </c>
    </row>
    <row r="37" spans="1:24" ht="12" customHeight="1" thickBot="1">
      <c r="A37" s="284">
        <v>18</v>
      </c>
      <c r="B37" s="194" t="s">
        <v>100</v>
      </c>
      <c r="C37" s="154" t="s">
        <v>251</v>
      </c>
      <c r="D37" s="365"/>
      <c r="E37" s="367"/>
      <c r="F37" s="367"/>
      <c r="G37" s="367"/>
      <c r="H37" s="367"/>
      <c r="I37" s="367"/>
      <c r="J37" s="381"/>
      <c r="K37" s="442"/>
      <c r="L37" s="433"/>
      <c r="M37" s="433"/>
      <c r="N37" s="405"/>
      <c r="O37" s="405">
        <f>Q37*25-K37*12-(SUM(L37:N37)*12)</f>
        <v>0</v>
      </c>
      <c r="P37" s="405"/>
      <c r="Q37" s="427"/>
      <c r="S37">
        <f t="shared" si="3"/>
      </c>
      <c r="V37" s="171"/>
      <c r="W37" s="171"/>
      <c r="X37" s="171"/>
    </row>
    <row r="38" spans="1:24" ht="12.75" customHeight="1">
      <c r="A38" s="393" t="s">
        <v>20</v>
      </c>
      <c r="B38" s="394"/>
      <c r="C38" s="452"/>
      <c r="D38" s="79">
        <f>SUM(D32:D37)</f>
        <v>2</v>
      </c>
      <c r="E38" s="64"/>
      <c r="F38" s="80">
        <f>SUM(F32:F37)</f>
        <v>2</v>
      </c>
      <c r="G38" s="66"/>
      <c r="H38" s="382">
        <f>SUM(H32:H37)</f>
        <v>69</v>
      </c>
      <c r="I38" s="382" t="s">
        <v>73</v>
      </c>
      <c r="J38" s="389">
        <f aca="true" t="shared" si="4" ref="J38:O38">SUM(J32:J37)</f>
        <v>5</v>
      </c>
      <c r="K38" s="79">
        <f t="shared" si="4"/>
        <v>3</v>
      </c>
      <c r="L38" s="64">
        <f t="shared" si="4"/>
        <v>4</v>
      </c>
      <c r="M38" s="80"/>
      <c r="N38" s="66"/>
      <c r="O38" s="382">
        <f t="shared" si="4"/>
        <v>105</v>
      </c>
      <c r="P38" s="382" t="s">
        <v>101</v>
      </c>
      <c r="Q38" s="389">
        <f>SUM(Q32:Q37)</f>
        <v>7</v>
      </c>
      <c r="S38" s="178" t="s">
        <v>171</v>
      </c>
      <c r="T38" s="171" t="s">
        <v>172</v>
      </c>
      <c r="U38" s="171" t="s">
        <v>173</v>
      </c>
      <c r="V38" s="171"/>
      <c r="W38" s="171" t="s">
        <v>174</v>
      </c>
      <c r="X38" s="171" t="s">
        <v>175</v>
      </c>
    </row>
    <row r="39" spans="1:24" ht="12.75" customHeight="1" thickBot="1">
      <c r="A39" s="395"/>
      <c r="B39" s="396"/>
      <c r="C39" s="409"/>
      <c r="D39" s="385">
        <f>SUM(D38:G38)</f>
        <v>4</v>
      </c>
      <c r="E39" s="386"/>
      <c r="F39" s="386"/>
      <c r="G39" s="386"/>
      <c r="H39" s="378"/>
      <c r="I39" s="378"/>
      <c r="J39" s="376"/>
      <c r="K39" s="385">
        <f>SUM(K38:N38)</f>
        <v>7</v>
      </c>
      <c r="L39" s="386"/>
      <c r="M39" s="386"/>
      <c r="N39" s="386"/>
      <c r="O39" s="378"/>
      <c r="P39" s="378"/>
      <c r="Q39" s="376"/>
      <c r="S39" s="160">
        <f>SUM(S14:S38)</f>
        <v>142</v>
      </c>
      <c r="T39" s="160">
        <f>SUM(T15:T38)</f>
        <v>378</v>
      </c>
      <c r="U39" s="160">
        <f>SUM(U15:U38)</f>
        <v>96</v>
      </c>
      <c r="V39" s="160"/>
      <c r="W39" s="160">
        <f>SUM(W14:W38)</f>
        <v>490</v>
      </c>
      <c r="X39" s="160">
        <f>SUM(X15:X38)</f>
        <v>126</v>
      </c>
    </row>
    <row r="40" spans="1:17" ht="15.75" customHeight="1" thickBot="1">
      <c r="A40" s="83"/>
      <c r="B40" s="83"/>
      <c r="C40" s="84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30" ht="12.75" customHeight="1">
      <c r="A41" s="85"/>
      <c r="B41" s="86" t="s">
        <v>21</v>
      </c>
      <c r="C41" s="87"/>
      <c r="D41" s="103">
        <f>D26+D38</f>
        <v>11</v>
      </c>
      <c r="E41" s="73">
        <f>E26+E38</f>
        <v>2</v>
      </c>
      <c r="F41" s="73">
        <f>F26+F38</f>
        <v>9</v>
      </c>
      <c r="G41" s="74">
        <f>G26+G38</f>
        <v>0</v>
      </c>
      <c r="H41" s="377">
        <f>H26+H38</f>
        <v>373</v>
      </c>
      <c r="I41" s="369" t="s">
        <v>69</v>
      </c>
      <c r="J41" s="375">
        <f aca="true" t="shared" si="5" ref="J41:O41">J26+J38</f>
        <v>30</v>
      </c>
      <c r="K41" s="88">
        <f t="shared" si="5"/>
        <v>11</v>
      </c>
      <c r="L41" s="73">
        <f t="shared" si="5"/>
        <v>6</v>
      </c>
      <c r="M41" s="73">
        <f t="shared" si="5"/>
        <v>5</v>
      </c>
      <c r="N41" s="74"/>
      <c r="O41" s="377">
        <f t="shared" si="5"/>
        <v>330</v>
      </c>
      <c r="P41" s="369" t="s">
        <v>335</v>
      </c>
      <c r="Q41" s="375">
        <f>Q26+Q38</f>
        <v>30</v>
      </c>
      <c r="Z41" s="82"/>
      <c r="AA41" s="82"/>
      <c r="AB41" s="82"/>
      <c r="AC41" s="82"/>
      <c r="AD41" s="82"/>
    </row>
    <row r="42" spans="1:33" ht="12.75" customHeight="1" thickBot="1">
      <c r="A42" s="85"/>
      <c r="B42" s="85"/>
      <c r="C42" s="87"/>
      <c r="D42" s="386">
        <f>SUM(D41:G41)</f>
        <v>22</v>
      </c>
      <c r="E42" s="386"/>
      <c r="F42" s="386"/>
      <c r="G42" s="386"/>
      <c r="H42" s="378"/>
      <c r="I42" s="367" t="s">
        <v>70</v>
      </c>
      <c r="J42" s="376"/>
      <c r="K42" s="385">
        <f>SUM(K41:N41)</f>
        <v>22</v>
      </c>
      <c r="L42" s="386"/>
      <c r="M42" s="386"/>
      <c r="N42" s="386"/>
      <c r="O42" s="378"/>
      <c r="P42" s="367" t="s">
        <v>70</v>
      </c>
      <c r="Q42" s="376"/>
      <c r="Z42" s="160">
        <f>SUM(Z14:Z41)</f>
        <v>76</v>
      </c>
      <c r="AA42" s="160">
        <f aca="true" t="shared" si="6" ref="AA42:AF42">SUM(AA14:AA41)</f>
        <v>66</v>
      </c>
      <c r="AB42" s="160">
        <f t="shared" si="6"/>
        <v>140</v>
      </c>
      <c r="AC42" s="160">
        <f t="shared" si="6"/>
        <v>238</v>
      </c>
      <c r="AD42" s="160">
        <f t="shared" si="6"/>
        <v>0</v>
      </c>
      <c r="AE42" s="160">
        <f t="shared" si="6"/>
        <v>48</v>
      </c>
      <c r="AF42" s="160">
        <f t="shared" si="6"/>
        <v>48</v>
      </c>
      <c r="AG42" s="160">
        <f>SUM(Z42:AF42)</f>
        <v>616</v>
      </c>
    </row>
    <row r="43" spans="1:17" ht="12.75" customHeight="1" thickBot="1">
      <c r="A43" s="85"/>
      <c r="B43" s="85"/>
      <c r="C43" s="85"/>
      <c r="D43" s="76"/>
      <c r="E43" s="76"/>
      <c r="F43" s="76"/>
      <c r="G43" s="76"/>
      <c r="H43" s="75"/>
      <c r="I43" s="98"/>
      <c r="J43" s="76"/>
      <c r="K43" s="76"/>
      <c r="L43" s="76"/>
      <c r="M43" s="76"/>
      <c r="N43" s="76"/>
      <c r="O43" s="75"/>
      <c r="P43" s="98"/>
      <c r="Q43" s="76"/>
    </row>
    <row r="44" spans="1:17" ht="12.75" customHeight="1">
      <c r="A44" s="420" t="s">
        <v>11</v>
      </c>
      <c r="B44" s="659" t="s">
        <v>273</v>
      </c>
      <c r="C44" s="422" t="s">
        <v>56</v>
      </c>
      <c r="D44" s="397" t="s">
        <v>91</v>
      </c>
      <c r="E44" s="398"/>
      <c r="F44" s="398"/>
      <c r="G44" s="398"/>
      <c r="H44" s="398"/>
      <c r="I44" s="398"/>
      <c r="J44" s="399"/>
      <c r="K44" s="397" t="s">
        <v>92</v>
      </c>
      <c r="L44" s="398"/>
      <c r="M44" s="398"/>
      <c r="N44" s="398"/>
      <c r="O44" s="398"/>
      <c r="P44" s="398"/>
      <c r="Q44" s="399"/>
    </row>
    <row r="45" spans="1:17" ht="12.75" customHeight="1">
      <c r="A45" s="421"/>
      <c r="B45" s="660"/>
      <c r="C45" s="423"/>
      <c r="D45" s="383" t="s">
        <v>7</v>
      </c>
      <c r="E45" s="370" t="s">
        <v>8</v>
      </c>
      <c r="F45" s="370" t="s">
        <v>9</v>
      </c>
      <c r="G45" s="366" t="s">
        <v>10</v>
      </c>
      <c r="H45" s="370" t="s">
        <v>28</v>
      </c>
      <c r="I45" s="370" t="s">
        <v>12</v>
      </c>
      <c r="J45" s="387" t="s">
        <v>13</v>
      </c>
      <c r="K45" s="383" t="s">
        <v>7</v>
      </c>
      <c r="L45" s="370" t="s">
        <v>8</v>
      </c>
      <c r="M45" s="370" t="s">
        <v>9</v>
      </c>
      <c r="N45" s="366" t="s">
        <v>10</v>
      </c>
      <c r="O45" s="370" t="s">
        <v>28</v>
      </c>
      <c r="P45" s="370" t="s">
        <v>12</v>
      </c>
      <c r="Q45" s="387" t="s">
        <v>13</v>
      </c>
    </row>
    <row r="46" spans="1:17" ht="12.75" customHeight="1" thickBot="1">
      <c r="A46" s="443"/>
      <c r="B46" s="660"/>
      <c r="C46" s="425"/>
      <c r="D46" s="365"/>
      <c r="E46" s="367"/>
      <c r="F46" s="367"/>
      <c r="G46" s="367"/>
      <c r="H46" s="367"/>
      <c r="I46" s="367"/>
      <c r="J46" s="381"/>
      <c r="K46" s="365"/>
      <c r="L46" s="367"/>
      <c r="M46" s="367"/>
      <c r="N46" s="367"/>
      <c r="O46" s="367"/>
      <c r="P46" s="367"/>
      <c r="Q46" s="381"/>
    </row>
    <row r="47" spans="1:30" s="81" customFormat="1" ht="12" customHeight="1">
      <c r="A47" s="661">
        <v>19</v>
      </c>
      <c r="B47" s="637" t="s">
        <v>318</v>
      </c>
      <c r="C47" s="657" t="s">
        <v>329</v>
      </c>
      <c r="D47" s="638">
        <v>1</v>
      </c>
      <c r="E47" s="638">
        <v>1</v>
      </c>
      <c r="F47" s="639"/>
      <c r="G47" s="639"/>
      <c r="H47" s="188">
        <f>J47*25-D47*14-(SUM(E47:G47)*14)</f>
        <v>22</v>
      </c>
      <c r="I47" s="639" t="s">
        <v>7</v>
      </c>
      <c r="J47" s="640">
        <v>2</v>
      </c>
      <c r="K47" s="545"/>
      <c r="L47" s="641"/>
      <c r="M47" s="641"/>
      <c r="N47" s="641"/>
      <c r="O47" s="641"/>
      <c r="P47" s="641"/>
      <c r="Q47" s="642"/>
      <c r="T47"/>
      <c r="U47"/>
      <c r="V47"/>
      <c r="X47"/>
      <c r="Y47"/>
      <c r="Z47"/>
      <c r="AB47"/>
      <c r="AC47"/>
      <c r="AD47"/>
    </row>
    <row r="48" spans="1:30" s="81" customFormat="1" ht="12" customHeight="1">
      <c r="A48" s="662">
        <v>20</v>
      </c>
      <c r="B48" s="643" t="s">
        <v>319</v>
      </c>
      <c r="C48" s="658" t="s">
        <v>330</v>
      </c>
      <c r="D48" s="644"/>
      <c r="E48" s="645">
        <v>3</v>
      </c>
      <c r="F48" s="645"/>
      <c r="G48" s="645"/>
      <c r="H48" s="188">
        <f>J48*25-D48*14-(SUM(E48:G48)*14)</f>
        <v>33</v>
      </c>
      <c r="I48" s="645" t="s">
        <v>7</v>
      </c>
      <c r="J48" s="646">
        <v>3</v>
      </c>
      <c r="K48" s="333"/>
      <c r="L48" s="320"/>
      <c r="M48" s="320"/>
      <c r="N48" s="320"/>
      <c r="O48" s="572"/>
      <c r="P48" s="572"/>
      <c r="Q48" s="573"/>
      <c r="T48"/>
      <c r="U48"/>
      <c r="V48"/>
      <c r="X48"/>
      <c r="Y48"/>
      <c r="Z48"/>
      <c r="AB48"/>
      <c r="AC48"/>
      <c r="AD48"/>
    </row>
    <row r="49" spans="1:30" s="81" customFormat="1" ht="12" customHeight="1">
      <c r="A49" s="663">
        <v>21</v>
      </c>
      <c r="B49" s="643" t="s">
        <v>320</v>
      </c>
      <c r="C49" s="658" t="s">
        <v>331</v>
      </c>
      <c r="D49" s="644"/>
      <c r="E49" s="645"/>
      <c r="F49" s="645"/>
      <c r="G49" s="645"/>
      <c r="H49" s="645"/>
      <c r="I49" s="645"/>
      <c r="J49" s="646"/>
      <c r="K49" s="333">
        <v>1</v>
      </c>
      <c r="L49" s="320">
        <v>1</v>
      </c>
      <c r="M49" s="320"/>
      <c r="N49" s="320"/>
      <c r="O49" s="54">
        <f>Q49*25-K49*10-(SUM(L49:N49)*10)</f>
        <v>55</v>
      </c>
      <c r="P49" s="572" t="s">
        <v>60</v>
      </c>
      <c r="Q49" s="573">
        <v>3</v>
      </c>
      <c r="T49"/>
      <c r="U49"/>
      <c r="V49"/>
      <c r="X49"/>
      <c r="Y49"/>
      <c r="Z49"/>
      <c r="AB49"/>
      <c r="AC49"/>
      <c r="AD49"/>
    </row>
    <row r="50" spans="1:30" s="81" customFormat="1" ht="24" customHeight="1">
      <c r="A50" s="662">
        <v>22</v>
      </c>
      <c r="B50" s="643" t="s">
        <v>321</v>
      </c>
      <c r="C50" s="658" t="s">
        <v>332</v>
      </c>
      <c r="D50" s="647"/>
      <c r="E50" s="647"/>
      <c r="F50" s="648"/>
      <c r="G50" s="648"/>
      <c r="H50" s="648"/>
      <c r="I50" s="648"/>
      <c r="J50" s="646"/>
      <c r="K50" s="652"/>
      <c r="L50" s="648">
        <v>3</v>
      </c>
      <c r="M50" s="648"/>
      <c r="N50" s="648"/>
      <c r="O50" s="54">
        <f>Q50*25-K50*10-(SUM(L50:N50)*10)</f>
        <v>20</v>
      </c>
      <c r="P50" s="648" t="s">
        <v>7</v>
      </c>
      <c r="Q50" s="649">
        <v>2</v>
      </c>
      <c r="T50"/>
      <c r="U50"/>
      <c r="V50"/>
      <c r="X50"/>
      <c r="Y50"/>
      <c r="Z50"/>
      <c r="AB50"/>
      <c r="AC50"/>
      <c r="AD50"/>
    </row>
    <row r="51" spans="1:30" s="81" customFormat="1" ht="12" customHeight="1">
      <c r="A51" s="664">
        <v>23</v>
      </c>
      <c r="B51" s="643" t="s">
        <v>322</v>
      </c>
      <c r="C51" s="658" t="s">
        <v>333</v>
      </c>
      <c r="D51" s="644"/>
      <c r="E51" s="644"/>
      <c r="F51" s="645"/>
      <c r="G51" s="645"/>
      <c r="H51" s="645"/>
      <c r="I51" s="645"/>
      <c r="J51" s="646"/>
      <c r="K51" s="653"/>
      <c r="L51" s="645"/>
      <c r="M51" s="645"/>
      <c r="N51" s="645"/>
      <c r="O51" s="645"/>
      <c r="P51" s="645" t="s">
        <v>60</v>
      </c>
      <c r="Q51" s="650">
        <v>5</v>
      </c>
      <c r="T51"/>
      <c r="U51"/>
      <c r="V51"/>
      <c r="X51"/>
      <c r="Y51"/>
      <c r="Z51"/>
      <c r="AB51"/>
      <c r="AC51"/>
      <c r="AD51"/>
    </row>
    <row r="52" spans="1:30" s="81" customFormat="1" ht="13.5" thickBot="1">
      <c r="A52" s="355">
        <v>24</v>
      </c>
      <c r="B52" s="651" t="s">
        <v>225</v>
      </c>
      <c r="C52" s="152" t="s">
        <v>249</v>
      </c>
      <c r="D52" s="281"/>
      <c r="E52" s="354"/>
      <c r="F52" s="354"/>
      <c r="G52" s="354"/>
      <c r="H52" s="354"/>
      <c r="I52" s="354"/>
      <c r="J52" s="356"/>
      <c r="K52" s="281">
        <v>1</v>
      </c>
      <c r="L52" s="354">
        <v>1</v>
      </c>
      <c r="M52" s="354"/>
      <c r="N52" s="354"/>
      <c r="O52" s="54">
        <f>Q52*25-K52*10-(SUM(L52:N52)*10)</f>
        <v>55</v>
      </c>
      <c r="P52" s="354" t="s">
        <v>7</v>
      </c>
      <c r="Q52" s="356">
        <v>3</v>
      </c>
      <c r="T52"/>
      <c r="U52"/>
      <c r="V52"/>
      <c r="X52"/>
      <c r="Y52"/>
      <c r="Z52"/>
      <c r="AB52"/>
      <c r="AC52"/>
      <c r="AD52"/>
    </row>
    <row r="53" spans="1:30" s="81" customFormat="1" ht="21" customHeight="1">
      <c r="A53" s="600" t="s">
        <v>289</v>
      </c>
      <c r="B53" s="601"/>
      <c r="C53" s="601"/>
      <c r="D53" s="602">
        <f>SUM(D47:D52)</f>
        <v>1</v>
      </c>
      <c r="E53" s="603">
        <f>SUM(E47:F52)</f>
        <v>4</v>
      </c>
      <c r="F53" s="603"/>
      <c r="G53" s="603"/>
      <c r="H53" s="604">
        <f>SUM(H47:H52)</f>
        <v>55</v>
      </c>
      <c r="I53" s="605" t="s">
        <v>101</v>
      </c>
      <c r="J53" s="606">
        <f>SUM(J47:J52)</f>
        <v>5</v>
      </c>
      <c r="K53" s="602">
        <f>SUM(K49:K52)</f>
        <v>2</v>
      </c>
      <c r="L53" s="603">
        <f>SUM(L49:L52)</f>
        <v>5</v>
      </c>
      <c r="M53" s="603"/>
      <c r="N53" s="603"/>
      <c r="O53" s="604">
        <f>SUM(O47:O52)</f>
        <v>130</v>
      </c>
      <c r="P53" s="605" t="s">
        <v>323</v>
      </c>
      <c r="Q53" s="606">
        <f>SUM(Q47:Q52)</f>
        <v>13</v>
      </c>
      <c r="T53">
        <f>D54*14+K54*10</f>
        <v>140</v>
      </c>
      <c r="U53"/>
      <c r="V53"/>
      <c r="X53"/>
      <c r="Y53"/>
      <c r="Z53"/>
      <c r="AB53"/>
      <c r="AC53"/>
      <c r="AD53"/>
    </row>
    <row r="54" spans="1:30" s="81" customFormat="1" ht="21" customHeight="1" thickBot="1">
      <c r="A54" s="607"/>
      <c r="B54" s="608"/>
      <c r="C54" s="608"/>
      <c r="D54" s="609">
        <f>SUM(D53:G53)</f>
        <v>5</v>
      </c>
      <c r="E54" s="610"/>
      <c r="F54" s="610"/>
      <c r="G54" s="610"/>
      <c r="H54" s="611"/>
      <c r="I54" s="612"/>
      <c r="J54" s="613"/>
      <c r="K54" s="609">
        <f>SUM(K53:N53)</f>
        <v>7</v>
      </c>
      <c r="L54" s="610"/>
      <c r="M54" s="610"/>
      <c r="N54" s="610"/>
      <c r="O54" s="611"/>
      <c r="P54" s="612"/>
      <c r="Q54" s="613"/>
      <c r="T54"/>
      <c r="U54"/>
      <c r="V54"/>
      <c r="X54"/>
      <c r="Y54"/>
      <c r="Z54"/>
      <c r="AB54"/>
      <c r="AC54"/>
      <c r="AD54"/>
    </row>
    <row r="55" spans="1:30" s="81" customFormat="1" ht="12" customHeight="1">
      <c r="A55" s="45"/>
      <c r="B55" s="384" t="s">
        <v>192</v>
      </c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T55"/>
      <c r="U55"/>
      <c r="V55"/>
      <c r="X55"/>
      <c r="Y55"/>
      <c r="Z55"/>
      <c r="AB55"/>
      <c r="AC55"/>
      <c r="AD55"/>
    </row>
    <row r="56" spans="1:17" ht="12.75">
      <c r="A56" s="45"/>
      <c r="B56" s="89"/>
      <c r="C56" s="90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30" s="78" customFormat="1" ht="12.75">
      <c r="A57" s="388"/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43"/>
      <c r="T57"/>
      <c r="U57"/>
      <c r="V57"/>
      <c r="X57"/>
      <c r="Y57"/>
      <c r="Z57"/>
      <c r="AB57"/>
      <c r="AC57"/>
      <c r="AD57"/>
    </row>
    <row r="58" spans="1:17" ht="12.75">
      <c r="A58" s="91"/>
      <c r="B58" s="91"/>
      <c r="C58" s="91"/>
      <c r="D58" s="91"/>
      <c r="E58" s="91"/>
      <c r="F58" s="91"/>
      <c r="G58" s="91"/>
      <c r="H58" s="91"/>
      <c r="I58" s="91"/>
      <c r="L58" s="93"/>
      <c r="O58" s="42"/>
      <c r="P58" s="42"/>
      <c r="Q58" s="42"/>
    </row>
    <row r="59" spans="1:30" s="81" customFormat="1" ht="12.75">
      <c r="A59" s="94"/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96"/>
      <c r="T59"/>
      <c r="U59"/>
      <c r="V59"/>
      <c r="X59"/>
      <c r="Y59"/>
      <c r="Z59"/>
      <c r="AB59"/>
      <c r="AC59"/>
      <c r="AD59"/>
    </row>
    <row r="60" spans="1:30" s="81" customFormat="1" ht="12.75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6"/>
      <c r="T60"/>
      <c r="U60"/>
      <c r="V60"/>
      <c r="X60"/>
      <c r="Y60"/>
      <c r="Z60"/>
      <c r="AB60"/>
      <c r="AC60"/>
      <c r="AD60"/>
    </row>
    <row r="61" ht="12.75">
      <c r="C61" s="41"/>
    </row>
    <row r="62" spans="1:30" s="78" customFormat="1" ht="12.75">
      <c r="A62" s="388"/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43"/>
      <c r="T62"/>
      <c r="U62"/>
      <c r="V62"/>
      <c r="X62"/>
      <c r="Y62"/>
      <c r="Z62"/>
      <c r="AB62"/>
      <c r="AC62"/>
      <c r="AD62"/>
    </row>
    <row r="63" spans="1:17" ht="12.75">
      <c r="A63" s="91"/>
      <c r="B63" s="91"/>
      <c r="C63" s="91"/>
      <c r="D63" s="91"/>
      <c r="E63" s="91"/>
      <c r="F63" s="91"/>
      <c r="G63" s="91"/>
      <c r="H63" s="91"/>
      <c r="I63" s="91"/>
      <c r="L63" s="93"/>
      <c r="O63" s="42"/>
      <c r="P63" s="42"/>
      <c r="Q63" s="42"/>
    </row>
    <row r="64" spans="1:30" s="81" customFormat="1" ht="12.75">
      <c r="A64" s="94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96"/>
      <c r="T64"/>
      <c r="U64"/>
      <c r="V64"/>
      <c r="X64"/>
      <c r="Y64"/>
      <c r="Z64"/>
      <c r="AB64"/>
      <c r="AC64"/>
      <c r="AD64"/>
    </row>
    <row r="65" spans="1:30" ht="12.75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6"/>
      <c r="X65" s="81"/>
      <c r="Y65" s="81"/>
      <c r="Z65" s="81"/>
      <c r="AB65" s="81"/>
      <c r="AC65" s="81"/>
      <c r="AD65" s="81"/>
    </row>
    <row r="66" ht="12.75">
      <c r="C66" s="41"/>
    </row>
    <row r="67" spans="1:17" ht="12.75">
      <c r="A67" s="388"/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43"/>
    </row>
    <row r="68" spans="1:17" ht="12.75">
      <c r="A68" s="91"/>
      <c r="B68" s="91"/>
      <c r="C68" s="91"/>
      <c r="D68" s="91"/>
      <c r="E68" s="91"/>
      <c r="F68" s="91"/>
      <c r="G68" s="91"/>
      <c r="H68" s="91"/>
      <c r="I68" s="91"/>
      <c r="L68" s="93"/>
      <c r="O68" s="42"/>
      <c r="P68" s="42"/>
      <c r="Q68" s="42"/>
    </row>
    <row r="69" spans="1:17" ht="12.75">
      <c r="A69" s="94"/>
      <c r="B69" s="373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96"/>
    </row>
    <row r="70" ht="12.75">
      <c r="C70" s="41"/>
    </row>
  </sheetData>
  <sheetProtection/>
  <mergeCells count="151">
    <mergeCell ref="K54:N54"/>
    <mergeCell ref="A53:C54"/>
    <mergeCell ref="H53:H54"/>
    <mergeCell ref="I53:I54"/>
    <mergeCell ref="J53:J54"/>
    <mergeCell ref="O53:O54"/>
    <mergeCell ref="P53:P54"/>
    <mergeCell ref="Q53:Q54"/>
    <mergeCell ref="D54:G54"/>
    <mergeCell ref="D44:J44"/>
    <mergeCell ref="K39:N39"/>
    <mergeCell ref="A57:C57"/>
    <mergeCell ref="D42:G42"/>
    <mergeCell ref="K42:N42"/>
    <mergeCell ref="J41:J42"/>
    <mergeCell ref="B55:Q55"/>
    <mergeCell ref="Q41:Q42"/>
    <mergeCell ref="P41:P42"/>
    <mergeCell ref="D36:D37"/>
    <mergeCell ref="Q36:Q37"/>
    <mergeCell ref="A38:C39"/>
    <mergeCell ref="H38:H39"/>
    <mergeCell ref="I38:I39"/>
    <mergeCell ref="J38:J39"/>
    <mergeCell ref="O38:O39"/>
    <mergeCell ref="P38:P39"/>
    <mergeCell ref="Q38:Q39"/>
    <mergeCell ref="D39:G39"/>
    <mergeCell ref="Q30:Q31"/>
    <mergeCell ref="P30:P31"/>
    <mergeCell ref="E36:E37"/>
    <mergeCell ref="F36:F37"/>
    <mergeCell ref="G36:G37"/>
    <mergeCell ref="H36:H37"/>
    <mergeCell ref="F32:F33"/>
    <mergeCell ref="G32:G33"/>
    <mergeCell ref="E32:E33"/>
    <mergeCell ref="A8:G8"/>
    <mergeCell ref="A9:G9"/>
    <mergeCell ref="K27:N27"/>
    <mergeCell ref="O26:O27"/>
    <mergeCell ref="P26:P27"/>
    <mergeCell ref="M30:M31"/>
    <mergeCell ref="N30:N31"/>
    <mergeCell ref="K29:Q29"/>
    <mergeCell ref="L30:L31"/>
    <mergeCell ref="A26:C27"/>
    <mergeCell ref="H26:H27"/>
    <mergeCell ref="I26:I27"/>
    <mergeCell ref="J26:J27"/>
    <mergeCell ref="D27:G27"/>
    <mergeCell ref="G12:G13"/>
    <mergeCell ref="A3:Q3"/>
    <mergeCell ref="A5:M5"/>
    <mergeCell ref="A6:G6"/>
    <mergeCell ref="A7:G7"/>
    <mergeCell ref="A10:Q10"/>
    <mergeCell ref="A11:A13"/>
    <mergeCell ref="B11:B13"/>
    <mergeCell ref="C11:C13"/>
    <mergeCell ref="D11:J11"/>
    <mergeCell ref="K11:Q11"/>
    <mergeCell ref="Q12:Q13"/>
    <mergeCell ref="D12:D13"/>
    <mergeCell ref="E12:E13"/>
    <mergeCell ref="F12:F13"/>
    <mergeCell ref="O30:O31"/>
    <mergeCell ref="G30:G31"/>
    <mergeCell ref="O12:O13"/>
    <mergeCell ref="Q26:Q27"/>
    <mergeCell ref="I12:I13"/>
    <mergeCell ref="K30:K31"/>
    <mergeCell ref="J36:J37"/>
    <mergeCell ref="O36:O37"/>
    <mergeCell ref="M36:M37"/>
    <mergeCell ref="P36:P37"/>
    <mergeCell ref="P12:P13"/>
    <mergeCell ref="F30:F31"/>
    <mergeCell ref="K12:K13"/>
    <mergeCell ref="L12:L13"/>
    <mergeCell ref="K24:O24"/>
    <mergeCell ref="D29:J29"/>
    <mergeCell ref="H30:H31"/>
    <mergeCell ref="I30:I31"/>
    <mergeCell ref="L36:L37"/>
    <mergeCell ref="B64:C64"/>
    <mergeCell ref="D64:P64"/>
    <mergeCell ref="A62:C62"/>
    <mergeCell ref="D62:P62"/>
    <mergeCell ref="D32:D33"/>
    <mergeCell ref="I36:I37"/>
    <mergeCell ref="N36:N37"/>
    <mergeCell ref="K34:K35"/>
    <mergeCell ref="L34:L35"/>
    <mergeCell ref="M34:M35"/>
    <mergeCell ref="N34:N35"/>
    <mergeCell ref="A1:C1"/>
    <mergeCell ref="A2:C2"/>
    <mergeCell ref="M12:M13"/>
    <mergeCell ref="H12:H13"/>
    <mergeCell ref="B29:B31"/>
    <mergeCell ref="K25:O25"/>
    <mergeCell ref="A29:A31"/>
    <mergeCell ref="J30:J31"/>
    <mergeCell ref="K32:K33"/>
    <mergeCell ref="L32:L33"/>
    <mergeCell ref="M32:M33"/>
    <mergeCell ref="D30:D31"/>
    <mergeCell ref="E30:E31"/>
    <mergeCell ref="H32:H33"/>
    <mergeCell ref="C29:C31"/>
    <mergeCell ref="D57:P57"/>
    <mergeCell ref="B59:C59"/>
    <mergeCell ref="A44:A46"/>
    <mergeCell ref="D59:P59"/>
    <mergeCell ref="J45:J46"/>
    <mergeCell ref="K45:K46"/>
    <mergeCell ref="L45:L46"/>
    <mergeCell ref="G45:G46"/>
    <mergeCell ref="B44:B46"/>
    <mergeCell ref="C44:C46"/>
    <mergeCell ref="E45:E46"/>
    <mergeCell ref="F45:F46"/>
    <mergeCell ref="Q32:Q33"/>
    <mergeCell ref="I32:I33"/>
    <mergeCell ref="J12:J13"/>
    <mergeCell ref="N12:N13"/>
    <mergeCell ref="J32:J33"/>
    <mergeCell ref="P32:P33"/>
    <mergeCell ref="N32:N33"/>
    <mergeCell ref="O32:O33"/>
    <mergeCell ref="O34:O35"/>
    <mergeCell ref="P34:P35"/>
    <mergeCell ref="B69:C69"/>
    <mergeCell ref="D69:P69"/>
    <mergeCell ref="O41:O42"/>
    <mergeCell ref="I41:I42"/>
    <mergeCell ref="A67:C67"/>
    <mergeCell ref="D67:P67"/>
    <mergeCell ref="H41:H42"/>
    <mergeCell ref="D45:D46"/>
    <mergeCell ref="Q45:Q46"/>
    <mergeCell ref="K44:Q44"/>
    <mergeCell ref="Q34:Q35"/>
    <mergeCell ref="H45:H46"/>
    <mergeCell ref="I45:I46"/>
    <mergeCell ref="M45:M46"/>
    <mergeCell ref="N45:N46"/>
    <mergeCell ref="O45:O46"/>
    <mergeCell ref="P45:P46"/>
    <mergeCell ref="K36:K37"/>
  </mergeCells>
  <printOptions/>
  <pageMargins left="0.78" right="0.21" top="0.16" bottom="0.4724409448818898" header="0.5118110236220472" footer="0.5118110236220472"/>
  <pageSetup horizontalDpi="600" verticalDpi="600" orientation="portrait" paperSize="9" scale="85" r:id="rId4"/>
  <headerFooter alignWithMargins="0">
    <oddFooter>&amp;R4/7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tabSelected="1" view="pageBreakPreview" zoomScale="175" zoomScaleSheetLayoutView="175" zoomScalePageLayoutView="0" workbookViewId="0" topLeftCell="A46">
      <selection activeCell="I29" sqref="I29"/>
    </sheetView>
  </sheetViews>
  <sheetFormatPr defaultColWidth="9.140625" defaultRowHeight="12.75"/>
  <cols>
    <col min="1" max="1" width="2.8515625" style="0" customWidth="1"/>
    <col min="2" max="2" width="5.28125" style="0" customWidth="1"/>
    <col min="3" max="3" width="26.8515625" style="0" customWidth="1"/>
    <col min="4" max="4" width="10.8515625" style="0" customWidth="1"/>
    <col min="5" max="5" width="9.421875" style="0" bestFit="1" customWidth="1"/>
    <col min="6" max="6" width="10.57421875" style="0" customWidth="1"/>
    <col min="7" max="7" width="9.7109375" style="0" customWidth="1"/>
    <col min="8" max="8" width="8.28125" style="0" customWidth="1"/>
    <col min="9" max="9" width="9.421875" style="0" customWidth="1"/>
    <col min="10" max="10" width="9.8515625" style="0" customWidth="1"/>
    <col min="11" max="11" width="8.28125" style="0" customWidth="1"/>
    <col min="12" max="12" width="6.00390625" style="0" customWidth="1"/>
    <col min="13" max="13" width="10.8515625" style="0" bestFit="1" customWidth="1"/>
  </cols>
  <sheetData>
    <row r="1" spans="1:9" ht="12.75">
      <c r="A1" s="469" t="s">
        <v>18</v>
      </c>
      <c r="B1" s="469"/>
      <c r="C1" s="469"/>
      <c r="D1" s="78"/>
      <c r="E1" s="78"/>
      <c r="F1" s="78"/>
      <c r="G1" s="78"/>
      <c r="H1" s="78"/>
      <c r="I1" s="78"/>
    </row>
    <row r="2" spans="1:20" ht="12.75">
      <c r="A2" s="469" t="s">
        <v>51</v>
      </c>
      <c r="B2" s="469"/>
      <c r="C2" s="469"/>
      <c r="D2" s="78"/>
      <c r="E2" s="78"/>
      <c r="F2" s="78"/>
      <c r="G2" s="78"/>
      <c r="H2" s="78"/>
      <c r="I2" s="78"/>
      <c r="R2" s="10"/>
      <c r="S2" s="10"/>
      <c r="T2" s="10"/>
    </row>
    <row r="3" spans="1:20" ht="19.5" customHeight="1">
      <c r="A3" s="470" t="s">
        <v>17</v>
      </c>
      <c r="B3" s="470"/>
      <c r="C3" s="470"/>
      <c r="D3" s="470"/>
      <c r="E3" s="470"/>
      <c r="F3" s="470"/>
      <c r="G3" s="470"/>
      <c r="H3" s="470"/>
      <c r="I3" s="104"/>
      <c r="J3" s="25"/>
      <c r="K3" s="25"/>
      <c r="L3" s="25"/>
      <c r="M3" s="25"/>
      <c r="N3" s="25"/>
      <c r="O3" s="25"/>
      <c r="P3" s="25"/>
      <c r="Q3" s="17"/>
      <c r="R3" s="14"/>
      <c r="S3" s="10"/>
      <c r="T3" s="10"/>
    </row>
    <row r="4" spans="1:17" ht="12.75">
      <c r="A4" s="78"/>
      <c r="B4" s="78"/>
      <c r="C4" s="1"/>
      <c r="D4" s="24"/>
      <c r="E4" s="24"/>
      <c r="F4" s="24"/>
      <c r="G4" s="24"/>
      <c r="H4" s="24"/>
      <c r="I4" s="24"/>
      <c r="J4" s="23"/>
      <c r="K4" s="11"/>
      <c r="L4" s="11"/>
      <c r="M4" s="11"/>
      <c r="N4" s="7"/>
      <c r="O4" s="7"/>
      <c r="P4" s="6"/>
      <c r="Q4" s="6"/>
    </row>
    <row r="5" spans="1:10" ht="12.75">
      <c r="A5" s="361" t="s">
        <v>74</v>
      </c>
      <c r="B5" s="361"/>
      <c r="C5" s="361"/>
      <c r="D5" s="361"/>
      <c r="E5" s="361"/>
      <c r="F5" s="361"/>
      <c r="G5" s="361"/>
      <c r="H5" s="361"/>
      <c r="I5" s="361"/>
      <c r="J5" s="24"/>
    </row>
    <row r="6" spans="1:9" ht="12.75">
      <c r="A6" s="361" t="s">
        <v>75</v>
      </c>
      <c r="B6" s="361"/>
      <c r="C6" s="361"/>
      <c r="D6" s="361"/>
      <c r="E6" s="361"/>
      <c r="F6" s="361"/>
      <c r="G6" s="361"/>
      <c r="H6" s="16"/>
      <c r="I6" s="16"/>
    </row>
    <row r="7" spans="1:10" ht="12.75">
      <c r="A7" s="360" t="s">
        <v>76</v>
      </c>
      <c r="B7" s="360"/>
      <c r="C7" s="360"/>
      <c r="D7" s="360"/>
      <c r="E7" s="360"/>
      <c r="F7" s="360"/>
      <c r="G7" s="360"/>
      <c r="H7" s="5"/>
      <c r="I7" s="5"/>
      <c r="J7" s="9"/>
    </row>
    <row r="8" spans="1:10" ht="12.75">
      <c r="A8" s="360" t="s">
        <v>77</v>
      </c>
      <c r="B8" s="360"/>
      <c r="C8" s="360"/>
      <c r="D8" s="360"/>
      <c r="E8" s="360"/>
      <c r="F8" s="360"/>
      <c r="G8" s="360"/>
      <c r="H8" s="26"/>
      <c r="I8" s="26"/>
      <c r="J8" s="10"/>
    </row>
    <row r="9" spans="1:10" ht="15" customHeight="1">
      <c r="A9" s="372" t="s">
        <v>253</v>
      </c>
      <c r="B9" s="372"/>
      <c r="C9" s="372"/>
      <c r="D9" s="372"/>
      <c r="E9" s="372"/>
      <c r="F9" s="372"/>
      <c r="G9" s="372"/>
      <c r="H9" s="16"/>
      <c r="I9" s="16"/>
      <c r="J9" s="11"/>
    </row>
    <row r="10" ht="15" customHeight="1"/>
    <row r="11" ht="15" customHeight="1" thickBot="1"/>
    <row r="12" spans="3:9" ht="30" customHeight="1" thickBot="1">
      <c r="C12" s="31" t="s">
        <v>48</v>
      </c>
      <c r="D12" s="479" t="s">
        <v>47</v>
      </c>
      <c r="E12" s="480"/>
      <c r="F12" s="665" t="s">
        <v>344</v>
      </c>
      <c r="G12" s="666"/>
      <c r="H12" s="475" t="s">
        <v>198</v>
      </c>
      <c r="I12" s="476"/>
    </row>
    <row r="13" spans="3:9" ht="15" customHeight="1" thickBot="1">
      <c r="C13" s="37" t="s">
        <v>46</v>
      </c>
      <c r="D13" s="32" t="s">
        <v>0</v>
      </c>
      <c r="E13" s="33" t="s">
        <v>1</v>
      </c>
      <c r="F13" s="667" t="s">
        <v>0</v>
      </c>
      <c r="G13" s="668" t="s">
        <v>1</v>
      </c>
      <c r="H13" s="34" t="s">
        <v>0</v>
      </c>
      <c r="I13" s="33" t="s">
        <v>1</v>
      </c>
    </row>
    <row r="14" spans="3:9" ht="15" customHeight="1">
      <c r="C14" s="35" t="s">
        <v>2</v>
      </c>
      <c r="D14" s="671">
        <v>14</v>
      </c>
      <c r="E14" s="672" t="s">
        <v>199</v>
      </c>
      <c r="F14" s="674">
        <v>0</v>
      </c>
      <c r="G14" s="675">
        <v>44</v>
      </c>
      <c r="H14" s="264">
        <f>'an I'!D44:D44</f>
        <v>22</v>
      </c>
      <c r="I14" s="265">
        <f>'an I'!K44:K44</f>
        <v>22</v>
      </c>
    </row>
    <row r="15" spans="3:9" ht="15" customHeight="1">
      <c r="C15" s="36" t="s">
        <v>3</v>
      </c>
      <c r="D15" s="38">
        <v>14</v>
      </c>
      <c r="E15" s="269" t="s">
        <v>199</v>
      </c>
      <c r="F15" s="669">
        <v>0</v>
      </c>
      <c r="G15" s="676">
        <v>44</v>
      </c>
      <c r="H15" s="266">
        <f>'an II'!D46:D46</f>
        <v>22</v>
      </c>
      <c r="I15" s="267">
        <f>'an II'!K46:K46</f>
        <v>22</v>
      </c>
    </row>
    <row r="16" spans="3:9" ht="15" customHeight="1" thickBot="1">
      <c r="C16" s="37" t="s">
        <v>4</v>
      </c>
      <c r="D16" s="32">
        <v>14</v>
      </c>
      <c r="E16" s="673" t="s">
        <v>228</v>
      </c>
      <c r="F16" s="670">
        <v>0</v>
      </c>
      <c r="G16" s="677">
        <v>44</v>
      </c>
      <c r="H16" s="236">
        <f>'an III'!D42:D42</f>
        <v>22</v>
      </c>
      <c r="I16" s="237">
        <f>'an III'!K42:K42</f>
        <v>22</v>
      </c>
    </row>
    <row r="17" spans="3:9" ht="15" customHeight="1" thickBot="1">
      <c r="C17" s="28"/>
      <c r="D17" s="28"/>
      <c r="G17" s="223" t="s">
        <v>200</v>
      </c>
      <c r="H17" s="457">
        <f>SUM(H14:I16)/6</f>
        <v>22</v>
      </c>
      <c r="I17" s="458"/>
    </row>
    <row r="18" spans="3:7" ht="15" customHeight="1">
      <c r="C18" s="460" t="s">
        <v>229</v>
      </c>
      <c r="D18" s="460"/>
      <c r="E18" s="460"/>
      <c r="F18" s="460"/>
      <c r="G18" s="460"/>
    </row>
    <row r="19" spans="3:9" ht="15" customHeight="1">
      <c r="C19" s="461" t="s">
        <v>267</v>
      </c>
      <c r="D19" s="461"/>
      <c r="E19" s="461"/>
      <c r="F19" s="461"/>
      <c r="G19" s="461"/>
      <c r="H19" s="461"/>
      <c r="I19" s="461"/>
    </row>
    <row r="20" spans="3:9" ht="15" customHeight="1">
      <c r="C20" s="461"/>
      <c r="D20" s="461"/>
      <c r="E20" s="461"/>
      <c r="F20" s="461"/>
      <c r="G20" s="461"/>
      <c r="H20" s="461"/>
      <c r="I20" s="461"/>
    </row>
    <row r="21" spans="3:7" ht="15" customHeight="1">
      <c r="C21" s="222"/>
      <c r="D21" s="222"/>
      <c r="E21" s="222"/>
      <c r="F21" s="222"/>
      <c r="G21" s="222"/>
    </row>
    <row r="22" spans="1:9" ht="15.75" customHeight="1">
      <c r="A22" s="471" t="s">
        <v>102</v>
      </c>
      <c r="B22" s="471"/>
      <c r="C22" s="471"/>
      <c r="D22" s="471"/>
      <c r="E22" s="471"/>
      <c r="F22" s="471"/>
      <c r="G22" s="471"/>
      <c r="H22" s="471"/>
      <c r="I22" s="105"/>
    </row>
    <row r="23" ht="13.5" thickBot="1"/>
    <row r="24" spans="2:9" ht="12.75" customHeight="1">
      <c r="B24" s="462" t="s">
        <v>11</v>
      </c>
      <c r="C24" s="462" t="s">
        <v>29</v>
      </c>
      <c r="D24" s="462" t="s">
        <v>36</v>
      </c>
      <c r="E24" s="106" t="s">
        <v>25</v>
      </c>
      <c r="F24" s="107" t="s">
        <v>25</v>
      </c>
      <c r="G24" s="108"/>
      <c r="H24" s="109"/>
      <c r="I24" s="109"/>
    </row>
    <row r="25" spans="2:9" ht="24.75" thickBot="1">
      <c r="B25" s="463"/>
      <c r="C25" s="463"/>
      <c r="D25" s="463"/>
      <c r="E25" s="110" t="s">
        <v>26</v>
      </c>
      <c r="F25" s="111" t="s">
        <v>103</v>
      </c>
      <c r="G25" s="112"/>
      <c r="H25" s="109"/>
      <c r="I25" s="109"/>
    </row>
    <row r="26" spans="2:9" ht="12.75">
      <c r="B26" s="464">
        <v>1</v>
      </c>
      <c r="C26" s="113" t="s">
        <v>24</v>
      </c>
      <c r="D26" s="195">
        <f>'an I'!W42+'an II'!W44+'an III'!W39</f>
        <v>1504</v>
      </c>
      <c r="E26" s="477">
        <f>D26/D29*100</f>
        <v>81.38528138528139</v>
      </c>
      <c r="F26" s="473" t="s">
        <v>180</v>
      </c>
      <c r="G26" s="108"/>
      <c r="H26" s="170"/>
      <c r="I26" s="185"/>
    </row>
    <row r="27" spans="2:13" ht="14.25" customHeight="1">
      <c r="B27" s="472"/>
      <c r="C27" s="114" t="s">
        <v>226</v>
      </c>
      <c r="D27" s="187">
        <f>'an I'!W27+'an II'!W25+'an III'!W24</f>
        <v>132</v>
      </c>
      <c r="E27" s="478"/>
      <c r="F27" s="474"/>
      <c r="G27" s="108"/>
      <c r="H27" s="160"/>
      <c r="I27" s="182"/>
      <c r="M27" s="182"/>
    </row>
    <row r="28" spans="2:13" ht="12.75">
      <c r="B28" s="115">
        <v>2</v>
      </c>
      <c r="C28" s="116" t="s">
        <v>30</v>
      </c>
      <c r="D28" s="196">
        <f>'an I'!X42+'an II'!X44+'an III'!X39</f>
        <v>344</v>
      </c>
      <c r="E28" s="268">
        <f>D28/D29*100</f>
        <v>18.614718614718615</v>
      </c>
      <c r="F28" s="117" t="s">
        <v>181</v>
      </c>
      <c r="G28" s="108"/>
      <c r="H28" s="109"/>
      <c r="I28" s="109"/>
      <c r="M28" s="109"/>
    </row>
    <row r="29" spans="2:15" ht="24.75" thickBot="1">
      <c r="B29" s="115"/>
      <c r="C29" s="118" t="s">
        <v>32</v>
      </c>
      <c r="D29" s="119">
        <f>D26+D28</f>
        <v>1848</v>
      </c>
      <c r="E29" s="120">
        <v>100</v>
      </c>
      <c r="F29" s="121">
        <v>100</v>
      </c>
      <c r="G29" s="108"/>
      <c r="H29" s="148"/>
      <c r="I29" s="229"/>
      <c r="J29" s="230"/>
      <c r="K29" s="148"/>
      <c r="L29" s="148"/>
      <c r="M29" s="148"/>
      <c r="N29" s="231"/>
      <c r="O29" s="148"/>
    </row>
    <row r="30" spans="2:15" ht="13.5" thickBot="1">
      <c r="B30" s="122">
        <v>3</v>
      </c>
      <c r="C30" s="123" t="s">
        <v>27</v>
      </c>
      <c r="D30" s="124">
        <f>'an III'!T53+'an II'!T54+'an I'!S50+'an I'!S49</f>
        <v>372</v>
      </c>
      <c r="E30" s="125"/>
      <c r="F30" s="125"/>
      <c r="G30" s="108"/>
      <c r="H30" s="148"/>
      <c r="I30" s="229"/>
      <c r="J30" s="230"/>
      <c r="K30" s="148"/>
      <c r="L30" s="148"/>
      <c r="M30" s="263"/>
      <c r="N30" s="231"/>
      <c r="O30" s="148"/>
    </row>
    <row r="31" spans="2:15" ht="24.75" thickBot="1">
      <c r="B31" s="126"/>
      <c r="C31" s="127" t="s">
        <v>33</v>
      </c>
      <c r="D31" s="128">
        <f>SUM(D29:D30)</f>
        <v>2220</v>
      </c>
      <c r="E31" s="129"/>
      <c r="F31" s="129"/>
      <c r="G31" s="108"/>
      <c r="H31" s="229"/>
      <c r="I31" s="229"/>
      <c r="J31" s="148"/>
      <c r="K31" s="148"/>
      <c r="L31" s="148"/>
      <c r="M31" s="148"/>
      <c r="N31" s="148"/>
      <c r="O31" s="148"/>
    </row>
    <row r="32" spans="2:15" ht="12.75" customHeight="1">
      <c r="B32" s="130"/>
      <c r="C32" s="131"/>
      <c r="D32" s="132"/>
      <c r="E32" s="133"/>
      <c r="F32" s="134"/>
      <c r="G32" s="109"/>
      <c r="H32" s="229"/>
      <c r="I32" s="229"/>
      <c r="J32" s="148"/>
      <c r="K32" s="148"/>
      <c r="L32" s="148"/>
      <c r="M32" s="148"/>
      <c r="N32" s="148"/>
      <c r="O32" s="148"/>
    </row>
    <row r="33" spans="2:9" ht="13.5" thickBot="1">
      <c r="B33" s="112"/>
      <c r="C33" s="135"/>
      <c r="D33" s="108"/>
      <c r="E33" s="133"/>
      <c r="F33" s="134"/>
      <c r="G33" s="109"/>
      <c r="H33" s="109"/>
      <c r="I33" s="109"/>
    </row>
    <row r="34" spans="2:8" ht="12.75" customHeight="1">
      <c r="B34" s="462" t="s">
        <v>11</v>
      </c>
      <c r="C34" s="462" t="s">
        <v>29</v>
      </c>
      <c r="D34" s="462" t="s">
        <v>36</v>
      </c>
      <c r="E34" s="106" t="s">
        <v>25</v>
      </c>
      <c r="F34" s="198" t="s">
        <v>25</v>
      </c>
      <c r="G34" s="466" t="s">
        <v>104</v>
      </c>
      <c r="H34" s="468"/>
    </row>
    <row r="35" spans="2:18" ht="24.75" thickBot="1">
      <c r="B35" s="463"/>
      <c r="C35" s="463"/>
      <c r="D35" s="463"/>
      <c r="E35" s="110" t="s">
        <v>26</v>
      </c>
      <c r="F35" s="199" t="s">
        <v>103</v>
      </c>
      <c r="G35" s="136" t="s">
        <v>34</v>
      </c>
      <c r="H35" s="244" t="s">
        <v>35</v>
      </c>
      <c r="M35" s="8"/>
      <c r="N35" s="8"/>
      <c r="O35" s="8"/>
      <c r="P35" s="8"/>
      <c r="Q35" s="8"/>
      <c r="R35" s="8"/>
    </row>
    <row r="36" spans="2:18" ht="12.75">
      <c r="B36" s="243">
        <v>1</v>
      </c>
      <c r="C36" s="137" t="s">
        <v>14</v>
      </c>
      <c r="D36" s="183">
        <f>calcul!E7</f>
        <v>732</v>
      </c>
      <c r="E36" s="248">
        <f>D36/D$39</f>
        <v>0.3961038961038961</v>
      </c>
      <c r="F36" s="183" t="s">
        <v>142</v>
      </c>
      <c r="G36" s="259">
        <f>calcul!L13</f>
        <v>416</v>
      </c>
      <c r="H36" s="253">
        <f>calcul!L14</f>
        <v>316</v>
      </c>
      <c r="M36" s="8"/>
      <c r="N36" s="238"/>
      <c r="O36" s="8"/>
      <c r="P36" s="8"/>
      <c r="Q36" s="8"/>
      <c r="R36" s="8"/>
    </row>
    <row r="37" spans="2:18" ht="12.75">
      <c r="B37" s="115">
        <v>2</v>
      </c>
      <c r="C37" s="139" t="s">
        <v>16</v>
      </c>
      <c r="D37" s="196">
        <f>calcul!M13+calcul!M14</f>
        <v>786</v>
      </c>
      <c r="E37" s="246">
        <f>D37/D$39</f>
        <v>0.4253246753246753</v>
      </c>
      <c r="F37" s="247" t="s">
        <v>141</v>
      </c>
      <c r="G37" s="254">
        <f>calcul!M13</f>
        <v>320</v>
      </c>
      <c r="H37" s="247">
        <f>calcul!M14+D27</f>
        <v>598</v>
      </c>
      <c r="M37" s="8"/>
      <c r="N37" s="239"/>
      <c r="O37" s="8"/>
      <c r="P37" s="8"/>
      <c r="Q37" s="8"/>
      <c r="R37" s="8"/>
    </row>
    <row r="38" spans="2:18" ht="12" customHeight="1" thickBot="1">
      <c r="B38" s="115">
        <v>3</v>
      </c>
      <c r="C38" s="245" t="s">
        <v>15</v>
      </c>
      <c r="D38" s="183">
        <f>calcul!G7</f>
        <v>330</v>
      </c>
      <c r="E38" s="197">
        <f>D38/D$39</f>
        <v>0.17857142857142858</v>
      </c>
      <c r="F38" s="183" t="s">
        <v>140</v>
      </c>
      <c r="G38" s="255">
        <f>calcul!N13</f>
        <v>100</v>
      </c>
      <c r="H38" s="256">
        <f>calcul!N14</f>
        <v>230</v>
      </c>
      <c r="J38" s="164"/>
      <c r="M38" s="8"/>
      <c r="N38" s="239"/>
      <c r="O38" s="8"/>
      <c r="P38" s="8"/>
      <c r="Q38" s="8"/>
      <c r="R38" s="8"/>
    </row>
    <row r="39" spans="2:18" ht="13.5" thickBot="1">
      <c r="B39" s="140"/>
      <c r="C39" s="141" t="s">
        <v>44</v>
      </c>
      <c r="D39" s="252">
        <f>SUM(D36:D38)</f>
        <v>1848</v>
      </c>
      <c r="E39" s="142">
        <v>100</v>
      </c>
      <c r="F39" s="143">
        <v>100</v>
      </c>
      <c r="G39" s="257">
        <f>SUM(G36:G38)</f>
        <v>836</v>
      </c>
      <c r="H39" s="258">
        <f>SUM(H36:H38)</f>
        <v>1144</v>
      </c>
      <c r="K39" s="170"/>
      <c r="M39" s="8"/>
      <c r="N39" s="8"/>
      <c r="O39" s="8"/>
      <c r="P39" s="8"/>
      <c r="Q39" s="8"/>
      <c r="R39" s="8"/>
    </row>
    <row r="40" spans="2:18" ht="13.5" thickBot="1">
      <c r="B40" s="112"/>
      <c r="C40" s="145"/>
      <c r="D40" s="134"/>
      <c r="E40" s="134"/>
      <c r="F40" s="134"/>
      <c r="G40" s="109"/>
      <c r="H40" s="109"/>
      <c r="I40" s="109"/>
      <c r="M40" s="8"/>
      <c r="N40" s="8"/>
      <c r="O40" s="8"/>
      <c r="P40" s="8"/>
      <c r="Q40" s="8"/>
      <c r="R40" s="8"/>
    </row>
    <row r="41" spans="2:18" ht="23.25" thickBot="1">
      <c r="B41" s="109"/>
      <c r="C41" s="682" t="s">
        <v>31</v>
      </c>
      <c r="D41" s="146">
        <f>G39/(H39-D27-'an III'!T25)</f>
        <v>0.8636363636363636</v>
      </c>
      <c r="E41" s="109"/>
      <c r="F41" s="109"/>
      <c r="G41" s="109"/>
      <c r="H41" s="109"/>
      <c r="I41" s="109"/>
      <c r="M41" s="8"/>
      <c r="N41" s="8"/>
      <c r="O41" s="8"/>
      <c r="P41" s="8"/>
      <c r="Q41" s="8"/>
      <c r="R41" s="8"/>
    </row>
    <row r="42" spans="2:9" ht="13.5" thickBot="1">
      <c r="B42" s="109"/>
      <c r="C42" s="109"/>
      <c r="D42" s="109"/>
      <c r="E42" s="109"/>
      <c r="F42" s="109"/>
      <c r="G42" s="109"/>
      <c r="H42" s="109"/>
      <c r="I42" s="109"/>
    </row>
    <row r="43" spans="2:8" ht="12.75" customHeight="1">
      <c r="B43" s="186" t="s">
        <v>37</v>
      </c>
      <c r="C43" s="464" t="s">
        <v>105</v>
      </c>
      <c r="D43" s="466" t="s">
        <v>106</v>
      </c>
      <c r="E43" s="467"/>
      <c r="F43" s="467"/>
      <c r="G43" s="466" t="s">
        <v>23</v>
      </c>
      <c r="H43" s="468"/>
    </row>
    <row r="44" spans="2:8" ht="13.5" customHeight="1" thickBot="1">
      <c r="B44" s="124" t="s">
        <v>38</v>
      </c>
      <c r="C44" s="465"/>
      <c r="D44" s="136" t="s">
        <v>39</v>
      </c>
      <c r="E44" s="200" t="s">
        <v>40</v>
      </c>
      <c r="F44" s="201" t="s">
        <v>45</v>
      </c>
      <c r="G44" s="136" t="s">
        <v>37</v>
      </c>
      <c r="H44" s="202" t="s">
        <v>41</v>
      </c>
    </row>
    <row r="45" spans="2:8" ht="12.75">
      <c r="B45" s="195">
        <v>1</v>
      </c>
      <c r="C45" s="203" t="s">
        <v>42</v>
      </c>
      <c r="D45" s="695">
        <v>9</v>
      </c>
      <c r="E45" s="696">
        <v>9</v>
      </c>
      <c r="F45" s="235">
        <v>9</v>
      </c>
      <c r="G45" s="138">
        <f>SUM(D45:F45)</f>
        <v>27</v>
      </c>
      <c r="H45" s="204">
        <f>G45/G47*100</f>
        <v>55.10204081632652</v>
      </c>
    </row>
    <row r="46" spans="2:8" ht="13.5" thickBot="1">
      <c r="B46" s="187">
        <v>2</v>
      </c>
      <c r="C46" s="205" t="s">
        <v>43</v>
      </c>
      <c r="D46" s="695">
        <v>8</v>
      </c>
      <c r="E46" s="696">
        <v>8</v>
      </c>
      <c r="F46" s="235">
        <v>6</v>
      </c>
      <c r="G46" s="136">
        <f>SUM(D46:F46)</f>
        <v>22</v>
      </c>
      <c r="H46" s="206">
        <f>H47-H45</f>
        <v>44.89795918367348</v>
      </c>
    </row>
    <row r="47" spans="2:8" ht="13.5" thickBot="1">
      <c r="B47" s="207"/>
      <c r="C47" s="208" t="s">
        <v>44</v>
      </c>
      <c r="D47" s="144">
        <f>SUM(D45:D46)</f>
        <v>17</v>
      </c>
      <c r="E47" s="209">
        <f>SUM(E45:E46)</f>
        <v>17</v>
      </c>
      <c r="F47" s="210">
        <f>SUM(F45:F46)</f>
        <v>15</v>
      </c>
      <c r="G47" s="144">
        <f>SUM(G45:G46)</f>
        <v>49</v>
      </c>
      <c r="H47" s="211">
        <v>100</v>
      </c>
    </row>
    <row r="48" spans="2:6" ht="12.75">
      <c r="B48" s="3"/>
      <c r="C48" s="21"/>
      <c r="D48" s="22"/>
      <c r="E48" s="22"/>
      <c r="F48" s="22"/>
    </row>
    <row r="49" spans="2:10" ht="12.75">
      <c r="B49" s="224"/>
      <c r="C49" s="459" t="s">
        <v>272</v>
      </c>
      <c r="D49" s="459"/>
      <c r="E49" s="459"/>
      <c r="F49" s="459"/>
      <c r="G49" s="459"/>
      <c r="H49" s="459"/>
      <c r="I49" s="459"/>
      <c r="J49" s="225"/>
    </row>
    <row r="50" spans="2:10" ht="12.75">
      <c r="B50" s="459" t="s">
        <v>271</v>
      </c>
      <c r="C50" s="459"/>
      <c r="D50" s="459"/>
      <c r="E50" s="459"/>
      <c r="F50" s="459"/>
      <c r="G50" s="459"/>
      <c r="H50" s="459"/>
      <c r="I50" s="459"/>
      <c r="J50" s="225"/>
    </row>
    <row r="51" spans="2:10" ht="12.75">
      <c r="B51" s="224"/>
      <c r="C51" s="459" t="s">
        <v>201</v>
      </c>
      <c r="D51" s="459"/>
      <c r="E51" s="459"/>
      <c r="F51" s="459"/>
      <c r="G51" s="459"/>
      <c r="H51" s="459"/>
      <c r="I51" s="459"/>
      <c r="J51" s="459"/>
    </row>
    <row r="52" spans="2:10" ht="12.75">
      <c r="B52" s="224"/>
      <c r="C52" s="459" t="s">
        <v>211</v>
      </c>
      <c r="D52" s="459"/>
      <c r="E52" s="459"/>
      <c r="F52" s="459"/>
      <c r="G52" s="459"/>
      <c r="H52" s="459"/>
      <c r="I52" s="459"/>
      <c r="J52" s="459"/>
    </row>
    <row r="53" spans="2:10" ht="12.75">
      <c r="B53" s="224"/>
      <c r="C53" s="481" t="s">
        <v>220</v>
      </c>
      <c r="D53" s="481"/>
      <c r="E53" s="481"/>
      <c r="F53" s="481"/>
      <c r="G53" s="481"/>
      <c r="H53" s="481"/>
      <c r="I53" s="481"/>
      <c r="J53" s="481"/>
    </row>
    <row r="54" spans="2:10" ht="12.75">
      <c r="B54" s="456" t="s">
        <v>221</v>
      </c>
      <c r="C54" s="456"/>
      <c r="D54" s="456"/>
      <c r="E54" s="456"/>
      <c r="F54" s="456"/>
      <c r="G54" s="456"/>
      <c r="H54" s="456"/>
      <c r="I54" s="456"/>
      <c r="J54" s="242"/>
    </row>
    <row r="55" spans="2:10" ht="12.75">
      <c r="B55" s="224"/>
      <c r="C55" s="456" t="s">
        <v>222</v>
      </c>
      <c r="D55" s="456"/>
      <c r="E55" s="456"/>
      <c r="F55" s="456"/>
      <c r="G55" s="456"/>
      <c r="H55" s="456"/>
      <c r="I55" s="456"/>
      <c r="J55" s="456"/>
    </row>
    <row r="56" spans="2:10" ht="12.75">
      <c r="B56" s="456" t="s">
        <v>223</v>
      </c>
      <c r="C56" s="456"/>
      <c r="D56" s="456"/>
      <c r="E56" s="456"/>
      <c r="F56" s="456"/>
      <c r="G56" s="456"/>
      <c r="H56" s="456"/>
      <c r="I56" s="456"/>
      <c r="J56" s="226"/>
    </row>
    <row r="57" spans="1:17" ht="16.5" customHeight="1">
      <c r="A57" s="45"/>
      <c r="B57" s="89"/>
      <c r="C57" s="90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30" s="78" customFormat="1" ht="12.75">
      <c r="A58" s="388"/>
      <c r="B58" s="388"/>
      <c r="C58" s="388"/>
      <c r="D58" s="388"/>
      <c r="E58" s="388"/>
      <c r="F58" s="388"/>
      <c r="G58" s="388"/>
      <c r="H58" s="388"/>
      <c r="I58" s="43"/>
      <c r="J58" s="43"/>
      <c r="K58" s="43"/>
      <c r="L58" s="43"/>
      <c r="M58" s="43"/>
      <c r="N58" s="43"/>
      <c r="O58" s="43"/>
      <c r="P58" s="43"/>
      <c r="Q58" s="43"/>
      <c r="T58"/>
      <c r="U58"/>
      <c r="V58"/>
      <c r="X58"/>
      <c r="Y58"/>
      <c r="Z58"/>
      <c r="AB58"/>
      <c r="AC58"/>
      <c r="AD58"/>
    </row>
    <row r="59" spans="1:17" ht="12.75">
      <c r="A59" s="91"/>
      <c r="B59" s="91"/>
      <c r="C59" s="91"/>
      <c r="D59" s="91"/>
      <c r="E59" s="91"/>
      <c r="F59" s="91"/>
      <c r="G59" s="91"/>
      <c r="H59" s="91"/>
      <c r="I59" s="91"/>
      <c r="J59" s="92"/>
      <c r="K59" s="92"/>
      <c r="L59" s="93"/>
      <c r="M59" s="92"/>
      <c r="N59" s="92"/>
      <c r="O59" s="42"/>
      <c r="P59" s="42"/>
      <c r="Q59" s="42"/>
    </row>
    <row r="60" spans="1:30" s="81" customFormat="1" ht="12.75">
      <c r="A60" s="94"/>
      <c r="B60" s="373"/>
      <c r="C60" s="373"/>
      <c r="D60" s="373"/>
      <c r="E60" s="373"/>
      <c r="F60" s="373"/>
      <c r="G60" s="373"/>
      <c r="H60" s="373"/>
      <c r="I60" s="150"/>
      <c r="J60" s="150"/>
      <c r="K60" s="150"/>
      <c r="L60" s="150"/>
      <c r="M60" s="150"/>
      <c r="N60" s="150"/>
      <c r="O60" s="150"/>
      <c r="P60" s="150"/>
      <c r="Q60" s="96"/>
      <c r="T60"/>
      <c r="U60"/>
      <c r="V60"/>
      <c r="X60"/>
      <c r="Y60"/>
      <c r="Z60"/>
      <c r="AB60"/>
      <c r="AC60"/>
      <c r="AD60"/>
    </row>
    <row r="61" spans="1:30" s="81" customFormat="1" ht="12.75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6"/>
      <c r="T61"/>
      <c r="U61"/>
      <c r="V61"/>
      <c r="X61"/>
      <c r="Y61"/>
      <c r="Z61"/>
      <c r="AB61"/>
      <c r="AC61"/>
      <c r="AD61"/>
    </row>
    <row r="62" spans="1:17" ht="12.75">
      <c r="A62" s="92"/>
      <c r="B62" s="92"/>
      <c r="C62" s="4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30" s="78" customFormat="1" ht="12.75">
      <c r="A63" s="388"/>
      <c r="B63" s="388"/>
      <c r="C63" s="388"/>
      <c r="D63" s="388"/>
      <c r="E63" s="388"/>
      <c r="F63" s="388"/>
      <c r="G63" s="388"/>
      <c r="H63" s="388"/>
      <c r="I63" s="43"/>
      <c r="J63" s="43"/>
      <c r="K63" s="43"/>
      <c r="L63" s="43"/>
      <c r="M63" s="43"/>
      <c r="N63" s="43"/>
      <c r="O63" s="43"/>
      <c r="P63" s="43"/>
      <c r="Q63" s="43"/>
      <c r="T63"/>
      <c r="U63"/>
      <c r="V63"/>
      <c r="X63"/>
      <c r="Y63"/>
      <c r="Z63"/>
      <c r="AB63"/>
      <c r="AC63"/>
      <c r="AD63"/>
    </row>
    <row r="64" spans="1:17" ht="12.75">
      <c r="A64" s="91"/>
      <c r="B64" s="91"/>
      <c r="C64" s="91"/>
      <c r="D64" s="91"/>
      <c r="E64" s="91"/>
      <c r="F64" s="91"/>
      <c r="G64" s="91"/>
      <c r="H64" s="91"/>
      <c r="I64" s="91"/>
      <c r="J64" s="92"/>
      <c r="K64" s="92"/>
      <c r="L64" s="93"/>
      <c r="M64" s="92"/>
      <c r="N64" s="92"/>
      <c r="O64" s="42"/>
      <c r="P64" s="42"/>
      <c r="Q64" s="42"/>
    </row>
    <row r="65" spans="1:30" s="81" customFormat="1" ht="12.75">
      <c r="A65" s="94"/>
      <c r="B65" s="373"/>
      <c r="C65" s="373"/>
      <c r="D65" s="373"/>
      <c r="E65" s="373"/>
      <c r="F65" s="373"/>
      <c r="G65" s="373"/>
      <c r="H65" s="373"/>
      <c r="I65" s="150"/>
      <c r="J65" s="150"/>
      <c r="K65" s="150"/>
      <c r="L65" s="150"/>
      <c r="M65" s="150"/>
      <c r="N65" s="150"/>
      <c r="O65" s="150"/>
      <c r="P65" s="150"/>
      <c r="Q65" s="96"/>
      <c r="T65"/>
      <c r="U65"/>
      <c r="V65"/>
      <c r="X65"/>
      <c r="Y65"/>
      <c r="Z65"/>
      <c r="AB65"/>
      <c r="AC65"/>
      <c r="AD65"/>
    </row>
    <row r="66" spans="1:30" s="81" customFormat="1" ht="12.75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6"/>
      <c r="T66"/>
      <c r="U66"/>
      <c r="V66"/>
      <c r="X66"/>
      <c r="Y66"/>
      <c r="Z66"/>
      <c r="AB66"/>
      <c r="AC66"/>
      <c r="AD66"/>
    </row>
    <row r="67" spans="1:17" ht="12.75">
      <c r="A67" s="92"/>
      <c r="B67" s="92"/>
      <c r="C67" s="4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1:30" s="78" customFormat="1" ht="12.75">
      <c r="A68" s="388"/>
      <c r="B68" s="388"/>
      <c r="C68" s="388"/>
      <c r="D68" s="388"/>
      <c r="E68" s="388"/>
      <c r="F68" s="388"/>
      <c r="G68" s="388"/>
      <c r="H68" s="388"/>
      <c r="I68" s="43"/>
      <c r="J68" s="43"/>
      <c r="K68" s="43"/>
      <c r="L68" s="43"/>
      <c r="M68" s="43"/>
      <c r="N68" s="43"/>
      <c r="O68" s="43"/>
      <c r="P68" s="43"/>
      <c r="Q68" s="43"/>
      <c r="T68"/>
      <c r="U68"/>
      <c r="V68"/>
      <c r="X68"/>
      <c r="Y68"/>
      <c r="Z68"/>
      <c r="AB68"/>
      <c r="AC68"/>
      <c r="AD68"/>
    </row>
    <row r="69" spans="1:17" ht="12.75">
      <c r="A69" s="91"/>
      <c r="B69" s="91"/>
      <c r="C69" s="91"/>
      <c r="D69" s="91"/>
      <c r="E69" s="91"/>
      <c r="F69" s="91"/>
      <c r="G69" s="91"/>
      <c r="H69" s="91"/>
      <c r="I69" s="91"/>
      <c r="J69" s="92"/>
      <c r="K69" s="92"/>
      <c r="L69" s="93"/>
      <c r="M69" s="92"/>
      <c r="N69" s="92"/>
      <c r="O69" s="42"/>
      <c r="P69" s="42"/>
      <c r="Q69" s="42"/>
    </row>
    <row r="70" spans="1:30" s="81" customFormat="1" ht="12.75">
      <c r="A70" s="94"/>
      <c r="B70" s="373"/>
      <c r="C70" s="373"/>
      <c r="D70" s="373"/>
      <c r="E70" s="373"/>
      <c r="F70" s="373"/>
      <c r="G70" s="373"/>
      <c r="H70" s="373"/>
      <c r="I70" s="150"/>
      <c r="J70" s="150"/>
      <c r="K70" s="150"/>
      <c r="L70" s="150"/>
      <c r="M70" s="150"/>
      <c r="N70" s="150"/>
      <c r="O70" s="150"/>
      <c r="P70" s="150"/>
      <c r="Q70" s="96"/>
      <c r="T70"/>
      <c r="U70"/>
      <c r="V70"/>
      <c r="X70"/>
      <c r="Y70"/>
      <c r="Z70"/>
      <c r="AB70"/>
      <c r="AC70"/>
      <c r="AD70"/>
    </row>
    <row r="71" spans="1:30" ht="12.75">
      <c r="A71" s="92"/>
      <c r="B71" s="92"/>
      <c r="C71" s="4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X71" s="81"/>
      <c r="Y71" s="81"/>
      <c r="Z71" s="81"/>
      <c r="AB71" s="81"/>
      <c r="AC71" s="81"/>
      <c r="AD71" s="81"/>
    </row>
  </sheetData>
  <sheetProtection/>
  <mergeCells count="48">
    <mergeCell ref="B56:I56"/>
    <mergeCell ref="C53:J53"/>
    <mergeCell ref="D58:H58"/>
    <mergeCell ref="D60:H60"/>
    <mergeCell ref="D63:H63"/>
    <mergeCell ref="D65:H65"/>
    <mergeCell ref="A58:C58"/>
    <mergeCell ref="A63:C63"/>
    <mergeCell ref="B65:C65"/>
    <mergeCell ref="B54:I54"/>
    <mergeCell ref="A68:C68"/>
    <mergeCell ref="A9:G9"/>
    <mergeCell ref="A22:H22"/>
    <mergeCell ref="B26:B27"/>
    <mergeCell ref="F26:F27"/>
    <mergeCell ref="D24:D25"/>
    <mergeCell ref="H12:I12"/>
    <mergeCell ref="E26:E27"/>
    <mergeCell ref="D12:E12"/>
    <mergeCell ref="G34:H34"/>
    <mergeCell ref="A1:C1"/>
    <mergeCell ref="A2:C2"/>
    <mergeCell ref="B24:B25"/>
    <mergeCell ref="C24:C25"/>
    <mergeCell ref="A3:H3"/>
    <mergeCell ref="A5:I5"/>
    <mergeCell ref="A6:G6"/>
    <mergeCell ref="A7:G7"/>
    <mergeCell ref="A8:G8"/>
    <mergeCell ref="F12:G12"/>
    <mergeCell ref="B70:C70"/>
    <mergeCell ref="B34:B35"/>
    <mergeCell ref="C34:C35"/>
    <mergeCell ref="D34:D35"/>
    <mergeCell ref="D68:H68"/>
    <mergeCell ref="D70:H70"/>
    <mergeCell ref="B60:C60"/>
    <mergeCell ref="C43:C44"/>
    <mergeCell ref="D43:F43"/>
    <mergeCell ref="G43:H43"/>
    <mergeCell ref="C55:J55"/>
    <mergeCell ref="H17:I17"/>
    <mergeCell ref="C49:I49"/>
    <mergeCell ref="B50:I50"/>
    <mergeCell ref="C51:J51"/>
    <mergeCell ref="C52:J52"/>
    <mergeCell ref="C18:G18"/>
    <mergeCell ref="C19:I20"/>
  </mergeCells>
  <printOptions/>
  <pageMargins left="0.97" right="0.4724409448818898" top="0.4724409448818898" bottom="0.4724409448818898" header="0.5118110236220472" footer="0.5118110236220472"/>
  <pageSetup fitToHeight="1" fitToWidth="1" horizontalDpi="1200" verticalDpi="1200" orientation="portrait" paperSize="9" scale="85" r:id="rId4"/>
  <headerFooter alignWithMargins="0">
    <oddFooter>&amp;R5/7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"/>
  <sheetViews>
    <sheetView view="pageBreakPreview" zoomScale="70" zoomScaleSheetLayoutView="70" zoomScalePageLayoutView="0" workbookViewId="0" topLeftCell="A1">
      <selection activeCell="N20" sqref="N20"/>
    </sheetView>
  </sheetViews>
  <sheetFormatPr defaultColWidth="9.140625" defaultRowHeight="12.75"/>
  <cols>
    <col min="1" max="1" width="4.00390625" style="0" customWidth="1"/>
    <col min="2" max="2" width="49.00390625" style="0" customWidth="1"/>
    <col min="3" max="3" width="5.28125" style="0" customWidth="1"/>
    <col min="4" max="4" width="30.7109375" style="0" hidden="1" customWidth="1"/>
    <col min="5" max="5" width="43.140625" style="0" customWidth="1"/>
    <col min="6" max="6" width="6.00390625" style="0" customWidth="1"/>
  </cols>
  <sheetData>
    <row r="1" spans="1:14" ht="12.75">
      <c r="A1" s="482" t="s">
        <v>18</v>
      </c>
      <c r="B1" s="482"/>
      <c r="C1" s="482"/>
      <c r="D1" s="482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2.75">
      <c r="A2" s="469" t="s">
        <v>51</v>
      </c>
      <c r="B2" s="4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24" customHeight="1">
      <c r="A3" s="470" t="s">
        <v>17</v>
      </c>
      <c r="B3" s="470"/>
      <c r="C3" s="470"/>
      <c r="D3" s="470"/>
      <c r="E3" s="470"/>
      <c r="F3" s="104"/>
      <c r="G3" s="104"/>
      <c r="H3" s="104"/>
      <c r="I3" s="104"/>
      <c r="J3" s="104"/>
      <c r="K3" s="104"/>
      <c r="L3" s="104"/>
      <c r="M3" s="104"/>
      <c r="N3" s="104"/>
      <c r="O3" s="4"/>
    </row>
    <row r="4" spans="1:16" ht="23.25" customHeight="1">
      <c r="A4" s="104"/>
      <c r="B4" s="104"/>
      <c r="C4" s="104"/>
      <c r="D4" s="104"/>
      <c r="E4" s="104"/>
      <c r="F4" s="104"/>
      <c r="G4" s="104"/>
      <c r="H4" s="104"/>
      <c r="I4" s="24"/>
      <c r="J4" s="24"/>
      <c r="K4" s="24"/>
      <c r="L4" s="24"/>
      <c r="M4" s="24"/>
      <c r="N4" s="24"/>
      <c r="O4" s="10"/>
      <c r="P4" s="10"/>
    </row>
    <row r="5" spans="1:17" ht="12.75">
      <c r="A5" s="361" t="s">
        <v>74</v>
      </c>
      <c r="B5" s="361"/>
      <c r="C5" s="361"/>
      <c r="D5" s="361"/>
      <c r="E5" s="361"/>
      <c r="F5" s="147"/>
      <c r="G5" s="147"/>
      <c r="H5" s="147"/>
      <c r="I5" s="147"/>
      <c r="J5" s="147"/>
      <c r="K5" s="17"/>
      <c r="L5" s="17"/>
      <c r="M5" s="17"/>
      <c r="N5" s="17"/>
      <c r="O5" s="17"/>
      <c r="P5" s="15"/>
      <c r="Q5" s="10"/>
    </row>
    <row r="6" spans="1:55" ht="12.75">
      <c r="A6" s="361" t="s">
        <v>75</v>
      </c>
      <c r="B6" s="361"/>
      <c r="C6" s="361"/>
      <c r="D6" s="361"/>
      <c r="E6" s="361"/>
      <c r="F6" s="361"/>
      <c r="G6" s="16"/>
      <c r="H6" s="16"/>
      <c r="I6" s="24"/>
      <c r="J6" s="16"/>
      <c r="K6" s="16"/>
      <c r="L6" s="16"/>
      <c r="M6" s="16"/>
      <c r="N6" s="16"/>
      <c r="O6" s="16"/>
      <c r="P6" s="11"/>
      <c r="Q6" s="11"/>
      <c r="R6" s="11"/>
      <c r="S6" s="11"/>
      <c r="T6" s="11"/>
      <c r="U6" s="11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7"/>
      <c r="BA6" s="7"/>
      <c r="BB6" s="6"/>
      <c r="BC6" s="6"/>
    </row>
    <row r="7" spans="1:17" ht="12.75">
      <c r="A7" s="360" t="s">
        <v>76</v>
      </c>
      <c r="B7" s="360"/>
      <c r="C7" s="360"/>
      <c r="D7" s="360"/>
      <c r="E7" s="360"/>
      <c r="F7" s="360"/>
      <c r="G7" s="5"/>
      <c r="H7" s="5"/>
      <c r="I7" s="47"/>
      <c r="J7" s="47"/>
      <c r="K7" s="47"/>
      <c r="L7" s="47"/>
      <c r="M7" s="47"/>
      <c r="N7" s="47"/>
      <c r="O7" s="47"/>
      <c r="P7" s="10"/>
      <c r="Q7" s="10"/>
    </row>
    <row r="8" spans="1:17" ht="12.75">
      <c r="A8" s="361" t="s">
        <v>77</v>
      </c>
      <c r="B8" s="361"/>
      <c r="C8" s="361"/>
      <c r="D8" s="361"/>
      <c r="E8" s="361"/>
      <c r="F8" s="147"/>
      <c r="G8" s="26"/>
      <c r="H8" s="26"/>
      <c r="I8" s="26"/>
      <c r="J8" s="26"/>
      <c r="K8" s="26"/>
      <c r="L8" s="26"/>
      <c r="M8" s="26"/>
      <c r="N8" s="26"/>
      <c r="O8" s="26"/>
      <c r="P8" s="10"/>
      <c r="Q8" s="10"/>
    </row>
    <row r="9" spans="1:17" ht="12.75">
      <c r="A9" s="361" t="s">
        <v>244</v>
      </c>
      <c r="B9" s="361"/>
      <c r="C9" s="361"/>
      <c r="D9" s="361"/>
      <c r="E9" s="361"/>
      <c r="F9" s="361"/>
      <c r="G9" s="16"/>
      <c r="H9" s="16"/>
      <c r="I9" s="16"/>
      <c r="J9" s="16"/>
      <c r="K9" s="16"/>
      <c r="L9" s="16"/>
      <c r="M9" s="16"/>
      <c r="N9" s="16"/>
      <c r="O9" s="16"/>
      <c r="P9" s="11"/>
      <c r="Q9" s="11"/>
    </row>
    <row r="10" spans="1:12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3.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5" ht="18" customHeight="1">
      <c r="A12" s="693" t="s">
        <v>354</v>
      </c>
      <c r="B12" s="694"/>
      <c r="C12" s="683"/>
      <c r="D12" s="683"/>
      <c r="E12" s="688" t="s">
        <v>355</v>
      </c>
    </row>
    <row r="13" spans="1:5" ht="27.75" customHeight="1">
      <c r="A13" s="690" t="s">
        <v>348</v>
      </c>
      <c r="B13" s="689"/>
      <c r="C13" s="8"/>
      <c r="D13" s="8"/>
      <c r="E13" s="685" t="s">
        <v>356</v>
      </c>
    </row>
    <row r="14" spans="1:5" ht="30" customHeight="1">
      <c r="A14" s="690" t="s">
        <v>349</v>
      </c>
      <c r="B14" s="689"/>
      <c r="C14" s="8"/>
      <c r="D14" s="8"/>
      <c r="E14" s="685"/>
    </row>
    <row r="15" spans="1:5" ht="40.5" customHeight="1">
      <c r="A15" s="690" t="s">
        <v>350</v>
      </c>
      <c r="B15" s="689"/>
      <c r="C15" s="8"/>
      <c r="D15" s="8"/>
      <c r="E15" s="686" t="s">
        <v>357</v>
      </c>
    </row>
    <row r="16" spans="1:5" ht="45" customHeight="1">
      <c r="A16" s="690" t="s">
        <v>351</v>
      </c>
      <c r="B16" s="689"/>
      <c r="C16" s="8"/>
      <c r="D16" s="8"/>
      <c r="E16" s="685" t="s">
        <v>358</v>
      </c>
    </row>
    <row r="17" spans="1:5" ht="34.5" customHeight="1">
      <c r="A17" s="690" t="s">
        <v>352</v>
      </c>
      <c r="B17" s="689"/>
      <c r="C17" s="8"/>
      <c r="D17" s="8"/>
      <c r="E17" s="685"/>
    </row>
    <row r="18" spans="1:5" ht="16.5" customHeight="1" thickBot="1">
      <c r="A18" s="691" t="s">
        <v>353</v>
      </c>
      <c r="B18" s="692"/>
      <c r="C18" s="684"/>
      <c r="D18" s="684"/>
      <c r="E18" s="687"/>
    </row>
    <row r="19" ht="13.5" customHeight="1">
      <c r="A19" s="148"/>
    </row>
    <row r="20" ht="13.5" customHeight="1">
      <c r="A20" s="148"/>
    </row>
  </sheetData>
  <sheetProtection/>
  <mergeCells count="17">
    <mergeCell ref="E13:E14"/>
    <mergeCell ref="E16:E18"/>
    <mergeCell ref="A12:B12"/>
    <mergeCell ref="A13:B13"/>
    <mergeCell ref="A15:B15"/>
    <mergeCell ref="A14:B14"/>
    <mergeCell ref="A16:B16"/>
    <mergeCell ref="A17:B17"/>
    <mergeCell ref="A18:B18"/>
    <mergeCell ref="A6:F6"/>
    <mergeCell ref="A7:F7"/>
    <mergeCell ref="A8:E8"/>
    <mergeCell ref="A9:F9"/>
    <mergeCell ref="A2:B2"/>
    <mergeCell ref="A1:D1"/>
    <mergeCell ref="A3:E3"/>
    <mergeCell ref="A5:E5"/>
  </mergeCells>
  <printOptions/>
  <pageMargins left="0.9448818897637796" right="0.15748031496062992" top="0.4724409448818898" bottom="0.4724409448818898" header="0.31496062992125984" footer="0.31496062992125984"/>
  <pageSetup fitToHeight="1" fitToWidth="1" horizontalDpi="600" verticalDpi="600" orientation="portrait" paperSize="9" scale="92" r:id="rId2"/>
  <headerFooter alignWithMargins="0">
    <oddFooter>&amp;R6/7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24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3" width="15.7109375" style="0" customWidth="1"/>
    <col min="4" max="4" width="5.57421875" style="49" customWidth="1"/>
    <col min="5" max="11" width="5.57421875" style="0" customWidth="1"/>
    <col min="12" max="12" width="8.421875" style="0" customWidth="1"/>
    <col min="13" max="17" width="5.140625" style="0" customWidth="1"/>
    <col min="18" max="18" width="12.7109375" style="0" customWidth="1"/>
    <col min="19" max="19" width="7.421875" style="0" customWidth="1"/>
  </cols>
  <sheetData>
    <row r="1" spans="3:14" ht="12.75">
      <c r="C1" s="78" t="s">
        <v>208</v>
      </c>
      <c r="N1" t="s">
        <v>213</v>
      </c>
    </row>
    <row r="2" spans="14:16" ht="12.75">
      <c r="N2">
        <f>Bilant!D27</f>
        <v>132</v>
      </c>
      <c r="P2" s="272" t="s">
        <v>270</v>
      </c>
    </row>
    <row r="3" spans="5:12" ht="12.75">
      <c r="E3" s="183" t="s">
        <v>171</v>
      </c>
      <c r="F3" s="183" t="s">
        <v>172</v>
      </c>
      <c r="G3" s="183" t="s">
        <v>173</v>
      </c>
      <c r="H3" s="183"/>
      <c r="I3" s="183" t="s">
        <v>174</v>
      </c>
      <c r="J3" s="183" t="s">
        <v>175</v>
      </c>
      <c r="L3" t="s">
        <v>212</v>
      </c>
    </row>
    <row r="4" spans="2:12" ht="12.75">
      <c r="B4" t="s">
        <v>215</v>
      </c>
      <c r="C4" s="18">
        <f>SUM(E4:G4)</f>
        <v>616</v>
      </c>
      <c r="D4" s="49" t="s">
        <v>176</v>
      </c>
      <c r="E4" s="232">
        <f>'an I'!S42</f>
        <v>294</v>
      </c>
      <c r="F4" s="232">
        <f>'an I'!T42</f>
        <v>164</v>
      </c>
      <c r="G4" s="232">
        <f>'an I'!U42</f>
        <v>158</v>
      </c>
      <c r="H4" s="161"/>
      <c r="I4" s="232">
        <f>'an I'!W42</f>
        <v>540</v>
      </c>
      <c r="J4" s="232">
        <f>'an I'!X42</f>
        <v>76</v>
      </c>
      <c r="L4" s="241">
        <f>J7/(I9+N2)</f>
        <v>0.17373737373737375</v>
      </c>
    </row>
    <row r="5" spans="2:10" ht="12.75">
      <c r="B5" t="s">
        <v>216</v>
      </c>
      <c r="C5" s="18">
        <f>SUM(E5:G5)</f>
        <v>616</v>
      </c>
      <c r="D5" s="49" t="s">
        <v>177</v>
      </c>
      <c r="E5" s="232">
        <f>'an II'!S44</f>
        <v>296</v>
      </c>
      <c r="F5" s="232">
        <f>'an II'!T44</f>
        <v>244</v>
      </c>
      <c r="G5" s="232">
        <f>'an II'!U44</f>
        <v>76</v>
      </c>
      <c r="H5" s="161"/>
      <c r="I5" s="232">
        <f>'an II'!W44</f>
        <v>474</v>
      </c>
      <c r="J5" s="232">
        <f>'an II'!X44</f>
        <v>142</v>
      </c>
    </row>
    <row r="6" spans="2:10" ht="12.75">
      <c r="B6" t="s">
        <v>217</v>
      </c>
      <c r="C6" s="18">
        <f>SUM(E6:G6)</f>
        <v>616</v>
      </c>
      <c r="D6" s="49" t="s">
        <v>178</v>
      </c>
      <c r="E6" s="232">
        <f>'an III'!S39</f>
        <v>142</v>
      </c>
      <c r="F6" s="232">
        <f>'an III'!T39</f>
        <v>378</v>
      </c>
      <c r="G6" s="232">
        <f>'an III'!U39</f>
        <v>96</v>
      </c>
      <c r="H6" s="161"/>
      <c r="I6" s="232">
        <f>'an III'!W39</f>
        <v>490</v>
      </c>
      <c r="J6" s="232">
        <f>'an III'!X39</f>
        <v>126</v>
      </c>
    </row>
    <row r="7" spans="5:10" ht="12.75">
      <c r="E7" s="165">
        <f>SUM(E4:E6)</f>
        <v>732</v>
      </c>
      <c r="F7" s="165">
        <f>SUM(F4:F6)</f>
        <v>786</v>
      </c>
      <c r="G7" s="165">
        <f>SUM(G4:G6)</f>
        <v>330</v>
      </c>
      <c r="H7" s="165"/>
      <c r="I7" s="165">
        <f>SUM(I4:I6)</f>
        <v>1504</v>
      </c>
      <c r="J7" s="165">
        <f>SUM(J4:J6)</f>
        <v>344</v>
      </c>
    </row>
    <row r="9" spans="4:10" ht="12.75">
      <c r="D9" s="177" t="s">
        <v>179</v>
      </c>
      <c r="E9" s="160">
        <f>SUM(E7:G7)</f>
        <v>1848</v>
      </c>
      <c r="F9" s="160"/>
      <c r="G9" s="160"/>
      <c r="H9" s="160"/>
      <c r="I9" s="160">
        <f>SUM(I7:J7)</f>
        <v>1848</v>
      </c>
      <c r="J9" s="160"/>
    </row>
    <row r="12" spans="5:17" ht="12.75">
      <c r="E12" s="183" t="s">
        <v>171</v>
      </c>
      <c r="F12" s="183" t="s">
        <v>172</v>
      </c>
      <c r="G12" s="183" t="s">
        <v>173</v>
      </c>
      <c r="H12" s="183"/>
      <c r="I12" s="214" t="s">
        <v>174</v>
      </c>
      <c r="J12" s="214" t="s">
        <v>175</v>
      </c>
      <c r="L12" s="178" t="s">
        <v>171</v>
      </c>
      <c r="M12" s="171" t="s">
        <v>172</v>
      </c>
      <c r="N12" s="171" t="s">
        <v>173</v>
      </c>
      <c r="O12" s="171"/>
      <c r="P12" s="171" t="s">
        <v>174</v>
      </c>
      <c r="Q12" s="171" t="s">
        <v>175</v>
      </c>
    </row>
    <row r="13" spans="2:23" ht="12.75">
      <c r="B13" t="s">
        <v>215</v>
      </c>
      <c r="C13" s="227">
        <f>C4</f>
        <v>616</v>
      </c>
      <c r="D13" s="184" t="s">
        <v>176</v>
      </c>
      <c r="E13" s="232">
        <f>E4</f>
        <v>294</v>
      </c>
      <c r="F13" s="232">
        <f>F4</f>
        <v>164</v>
      </c>
      <c r="G13" s="232">
        <f>G4</f>
        <v>158</v>
      </c>
      <c r="H13" s="161"/>
      <c r="I13" s="232">
        <f>I4</f>
        <v>540</v>
      </c>
      <c r="J13" s="232">
        <f>J4</f>
        <v>76</v>
      </c>
      <c r="L13" s="240">
        <f>E14+E18+E22</f>
        <v>416</v>
      </c>
      <c r="M13" s="240">
        <f aca="true" t="shared" si="0" ref="L13:N14">F14+F18+F22</f>
        <v>320</v>
      </c>
      <c r="N13" s="240">
        <f t="shared" si="0"/>
        <v>100</v>
      </c>
      <c r="P13" s="240">
        <f>I13+I17+I21</f>
        <v>1504</v>
      </c>
      <c r="Q13" s="240">
        <f>J13+J17+J21</f>
        <v>344</v>
      </c>
      <c r="R13" s="160" t="s">
        <v>190</v>
      </c>
      <c r="S13">
        <f>SUM(L13:N13)</f>
        <v>836</v>
      </c>
      <c r="W13">
        <f>1848*1.015</f>
        <v>1875.7199999999998</v>
      </c>
    </row>
    <row r="14" spans="4:19" ht="12.75">
      <c r="D14" s="177" t="s">
        <v>182</v>
      </c>
      <c r="E14" s="161">
        <f>'an I'!Z42</f>
        <v>160</v>
      </c>
      <c r="F14" s="161">
        <f>'an I'!AB42</f>
        <v>60</v>
      </c>
      <c r="G14" s="249">
        <f>'an I'!AE42</f>
        <v>40</v>
      </c>
      <c r="H14" s="161"/>
      <c r="I14" s="232"/>
      <c r="J14" s="232"/>
      <c r="L14" s="240">
        <f t="shared" si="0"/>
        <v>316</v>
      </c>
      <c r="M14" s="240">
        <f>F15+F19+F23</f>
        <v>466</v>
      </c>
      <c r="N14" s="240">
        <f t="shared" si="0"/>
        <v>230</v>
      </c>
      <c r="P14" s="240">
        <f>I15+I19+I23</f>
        <v>0</v>
      </c>
      <c r="Q14" s="240">
        <f>J15+J19+J23</f>
        <v>0</v>
      </c>
      <c r="R14" s="160" t="s">
        <v>191</v>
      </c>
      <c r="S14">
        <f>SUM(L14:N14)</f>
        <v>1012</v>
      </c>
    </row>
    <row r="15" spans="4:19" ht="12.75">
      <c r="D15" s="177" t="s">
        <v>183</v>
      </c>
      <c r="E15" s="161">
        <f>'an I'!AA42</f>
        <v>134</v>
      </c>
      <c r="F15" s="161">
        <f>'an I'!AC42</f>
        <v>104</v>
      </c>
      <c r="G15" s="161">
        <f>'an I'!AF42</f>
        <v>118</v>
      </c>
      <c r="H15" s="161"/>
      <c r="I15" s="232"/>
      <c r="J15" s="232"/>
      <c r="S15" s="160">
        <f>SUM(S13:S14)</f>
        <v>1848</v>
      </c>
    </row>
    <row r="16" spans="9:17" ht="12.75">
      <c r="I16" s="148"/>
      <c r="J16" s="148"/>
      <c r="P16" s="160">
        <f>SUM(P13:P15)</f>
        <v>1504</v>
      </c>
      <c r="Q16" s="160">
        <f>SUM(Q13:Q15)</f>
        <v>344</v>
      </c>
    </row>
    <row r="17" spans="2:10" ht="12.75">
      <c r="B17" t="s">
        <v>216</v>
      </c>
      <c r="C17" s="227">
        <f>C5</f>
        <v>616</v>
      </c>
      <c r="D17" s="184" t="s">
        <v>177</v>
      </c>
      <c r="E17" s="232">
        <f>E5</f>
        <v>296</v>
      </c>
      <c r="F17" s="232">
        <f>F5</f>
        <v>244</v>
      </c>
      <c r="G17" s="232">
        <f>G5</f>
        <v>76</v>
      </c>
      <c r="H17" s="161"/>
      <c r="I17" s="232">
        <f>I5</f>
        <v>474</v>
      </c>
      <c r="J17" s="232">
        <f>J5</f>
        <v>142</v>
      </c>
    </row>
    <row r="18" spans="4:10" ht="12.75">
      <c r="D18" s="177" t="s">
        <v>182</v>
      </c>
      <c r="E18" s="2">
        <f>'an II'!Z42</f>
        <v>180</v>
      </c>
      <c r="F18" s="2">
        <f>'an II'!AB42</f>
        <v>120</v>
      </c>
      <c r="G18" s="161">
        <f>'an II'!AE42</f>
        <v>12</v>
      </c>
      <c r="H18" s="161"/>
      <c r="I18" s="232"/>
      <c r="J18" s="232"/>
    </row>
    <row r="19" spans="4:10" ht="12.75">
      <c r="D19" s="177" t="s">
        <v>183</v>
      </c>
      <c r="E19" s="250">
        <f>'an II'!AA42</f>
        <v>116</v>
      </c>
      <c r="F19" s="250">
        <f>'an II'!AC42</f>
        <v>124</v>
      </c>
      <c r="G19" s="161">
        <f>'an II'!AF42</f>
        <v>64</v>
      </c>
      <c r="H19" s="161"/>
      <c r="I19" s="232"/>
      <c r="J19" s="232"/>
    </row>
    <row r="20" spans="8:10" ht="12.75">
      <c r="H20" s="161"/>
      <c r="I20" s="215"/>
      <c r="J20" s="215"/>
    </row>
    <row r="21" spans="2:10" ht="12.75">
      <c r="B21" t="s">
        <v>217</v>
      </c>
      <c r="C21" s="227">
        <f>C6</f>
        <v>616</v>
      </c>
      <c r="D21" s="184" t="s">
        <v>178</v>
      </c>
      <c r="E21" s="232">
        <f>E6</f>
        <v>142</v>
      </c>
      <c r="F21" s="232">
        <f>F6</f>
        <v>378</v>
      </c>
      <c r="G21" s="232">
        <f>G6</f>
        <v>96</v>
      </c>
      <c r="H21" s="161"/>
      <c r="I21" s="232">
        <f>I6</f>
        <v>490</v>
      </c>
      <c r="J21" s="232">
        <f>J6</f>
        <v>126</v>
      </c>
    </row>
    <row r="22" spans="4:11" ht="12.75">
      <c r="D22" s="177" t="s">
        <v>182</v>
      </c>
      <c r="E22" s="216">
        <f>'an III'!Z42</f>
        <v>76</v>
      </c>
      <c r="F22" s="251">
        <f>'an III'!AB42</f>
        <v>140</v>
      </c>
      <c r="G22" s="216">
        <f>'an III'!AE42</f>
        <v>48</v>
      </c>
      <c r="H22" s="234"/>
      <c r="I22" s="233"/>
      <c r="J22" s="233"/>
      <c r="K22" s="148"/>
    </row>
    <row r="23" spans="4:11" ht="12.75">
      <c r="D23" s="177" t="s">
        <v>183</v>
      </c>
      <c r="E23" s="216">
        <f>'an III'!AA42</f>
        <v>66</v>
      </c>
      <c r="F23" s="216">
        <f>'an III'!AC42</f>
        <v>238</v>
      </c>
      <c r="G23" s="216">
        <f>'an III'!AF42</f>
        <v>48</v>
      </c>
      <c r="H23" s="215"/>
      <c r="I23" s="233"/>
      <c r="J23" s="233"/>
      <c r="K23" s="148"/>
    </row>
    <row r="24" spans="3:11" ht="12.75">
      <c r="C24">
        <f>E24+F24+G24</f>
        <v>616</v>
      </c>
      <c r="E24" s="161">
        <f>E22+E23</f>
        <v>142</v>
      </c>
      <c r="F24" s="161">
        <f>F22+F23</f>
        <v>378</v>
      </c>
      <c r="G24" s="161">
        <f>G22+G23</f>
        <v>96</v>
      </c>
      <c r="H24" s="148"/>
      <c r="I24" s="148"/>
      <c r="J24" s="148"/>
      <c r="K24" s="148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51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3" width="7.421875" style="0" customWidth="1"/>
    <col min="4" max="4" width="53.00390625" style="0" bestFit="1" customWidth="1"/>
    <col min="5" max="5" width="22.57421875" style="161" customWidth="1"/>
    <col min="6" max="6" width="9.140625" style="163" customWidth="1"/>
  </cols>
  <sheetData>
    <row r="1" ht="12.75">
      <c r="B1" s="78" t="s">
        <v>168</v>
      </c>
    </row>
    <row r="2" spans="2:6" ht="12.75">
      <c r="B2" s="161">
        <v>1</v>
      </c>
      <c r="D2" s="78" t="s">
        <v>121</v>
      </c>
      <c r="E2" s="165">
        <v>180</v>
      </c>
      <c r="F2" s="164" t="s">
        <v>152</v>
      </c>
    </row>
    <row r="3" spans="2:6" ht="12.75">
      <c r="B3" s="161">
        <v>1</v>
      </c>
      <c r="D3" s="40" t="s">
        <v>117</v>
      </c>
      <c r="E3" s="165" t="s">
        <v>116</v>
      </c>
      <c r="F3" s="168"/>
    </row>
    <row r="4" spans="2:6" ht="12.75">
      <c r="B4" s="161">
        <v>1</v>
      </c>
      <c r="D4" s="40" t="s">
        <v>118</v>
      </c>
      <c r="E4" s="165" t="s">
        <v>119</v>
      </c>
      <c r="F4" s="164" t="s">
        <v>205</v>
      </c>
    </row>
    <row r="5" spans="2:6" ht="12.75">
      <c r="B5" s="161">
        <v>1</v>
      </c>
      <c r="D5" s="40" t="s">
        <v>120</v>
      </c>
      <c r="E5" s="165">
        <v>30</v>
      </c>
      <c r="F5" s="181"/>
    </row>
    <row r="6" spans="2:9" ht="12.75">
      <c r="B6" s="161">
        <v>1</v>
      </c>
      <c r="D6" s="40" t="s">
        <v>122</v>
      </c>
      <c r="E6" s="165">
        <v>5</v>
      </c>
      <c r="F6" s="164" t="s">
        <v>123</v>
      </c>
      <c r="G6" s="78" t="s">
        <v>158</v>
      </c>
      <c r="I6" s="169"/>
    </row>
    <row r="7" spans="2:11" ht="12.75">
      <c r="B7" s="161">
        <v>1</v>
      </c>
      <c r="D7" s="40" t="s">
        <v>124</v>
      </c>
      <c r="E7" s="165">
        <v>112</v>
      </c>
      <c r="F7" s="164" t="s">
        <v>123</v>
      </c>
      <c r="G7" s="78" t="s">
        <v>151</v>
      </c>
      <c r="K7" s="78" t="s">
        <v>185</v>
      </c>
    </row>
    <row r="8" spans="2:6" ht="12.75">
      <c r="B8" s="161">
        <v>1</v>
      </c>
      <c r="D8" s="40" t="s">
        <v>126</v>
      </c>
      <c r="E8" s="165">
        <v>7</v>
      </c>
      <c r="F8" s="164" t="s">
        <v>125</v>
      </c>
    </row>
    <row r="9" spans="2:6" ht="12.75">
      <c r="B9" s="161">
        <v>1</v>
      </c>
      <c r="D9" s="40" t="s">
        <v>127</v>
      </c>
      <c r="E9" s="165">
        <v>3</v>
      </c>
      <c r="F9" s="164" t="s">
        <v>123</v>
      </c>
    </row>
    <row r="10" spans="2:6" ht="12.75">
      <c r="B10" s="161">
        <v>1</v>
      </c>
      <c r="D10" s="40" t="s">
        <v>128</v>
      </c>
      <c r="E10" s="165" t="s">
        <v>129</v>
      </c>
      <c r="F10" s="164" t="s">
        <v>130</v>
      </c>
    </row>
    <row r="11" spans="2:6" ht="12.75">
      <c r="B11" s="161"/>
      <c r="D11" s="148"/>
      <c r="F11" s="164" t="s">
        <v>132</v>
      </c>
    </row>
    <row r="12" spans="2:5" ht="12.75">
      <c r="B12" s="161">
        <v>1</v>
      </c>
      <c r="D12" s="40" t="s">
        <v>131</v>
      </c>
      <c r="E12" s="165">
        <v>25</v>
      </c>
    </row>
    <row r="13" spans="2:4" ht="12.75">
      <c r="B13" s="161"/>
      <c r="D13" s="148"/>
    </row>
    <row r="14" spans="2:4" ht="12.75">
      <c r="B14" s="161"/>
      <c r="D14" s="160" t="s">
        <v>133</v>
      </c>
    </row>
    <row r="15" spans="2:5" ht="12.75">
      <c r="B15" s="161"/>
      <c r="D15" s="272" t="s">
        <v>242</v>
      </c>
      <c r="E15" s="273" t="s">
        <v>243</v>
      </c>
    </row>
    <row r="16" spans="2:9" ht="12.75">
      <c r="B16" s="161">
        <v>1</v>
      </c>
      <c r="D16" s="78" t="s">
        <v>134</v>
      </c>
      <c r="E16" s="166">
        <v>0.1</v>
      </c>
      <c r="F16" s="164" t="s">
        <v>135</v>
      </c>
      <c r="I16" s="170"/>
    </row>
    <row r="17" spans="2:6" ht="12.75">
      <c r="B17" s="161">
        <v>1</v>
      </c>
      <c r="D17" s="40" t="s">
        <v>145</v>
      </c>
      <c r="E17" s="165" t="s">
        <v>136</v>
      </c>
      <c r="F17" s="164" t="s">
        <v>137</v>
      </c>
    </row>
    <row r="18" spans="2:6" ht="12.75">
      <c r="B18" s="161">
        <v>1</v>
      </c>
      <c r="D18" s="78" t="s">
        <v>195</v>
      </c>
      <c r="E18" s="165" t="s">
        <v>196</v>
      </c>
      <c r="F18" s="164" t="s">
        <v>197</v>
      </c>
    </row>
    <row r="19" spans="2:6" ht="12.75">
      <c r="B19" s="161">
        <v>1</v>
      </c>
      <c r="D19" s="160" t="s">
        <v>138</v>
      </c>
      <c r="E19" s="165" t="s">
        <v>142</v>
      </c>
      <c r="F19" s="164" t="s">
        <v>160</v>
      </c>
    </row>
    <row r="20" spans="2:6" ht="12.75">
      <c r="B20" s="161">
        <v>1</v>
      </c>
      <c r="D20" s="160" t="s">
        <v>157</v>
      </c>
      <c r="E20" s="165" t="s">
        <v>141</v>
      </c>
      <c r="F20" s="164" t="s">
        <v>161</v>
      </c>
    </row>
    <row r="21" spans="2:8" ht="12.75">
      <c r="B21" s="161">
        <v>1</v>
      </c>
      <c r="D21" s="160" t="s">
        <v>139</v>
      </c>
      <c r="E21" s="165" t="s">
        <v>140</v>
      </c>
      <c r="F21" s="164" t="s">
        <v>143</v>
      </c>
      <c r="H21" s="78" t="s">
        <v>162</v>
      </c>
    </row>
    <row r="22" ht="12.75">
      <c r="B22" s="161"/>
    </row>
    <row r="23" spans="2:6" ht="12.75">
      <c r="B23" s="161">
        <v>1</v>
      </c>
      <c r="D23" s="213" t="s">
        <v>146</v>
      </c>
      <c r="E23" s="165" t="s">
        <v>144</v>
      </c>
      <c r="F23" s="164" t="s">
        <v>159</v>
      </c>
    </row>
    <row r="24" spans="2:6" ht="12.75">
      <c r="B24" s="161">
        <v>1</v>
      </c>
      <c r="D24" s="213" t="s">
        <v>147</v>
      </c>
      <c r="E24" s="165" t="s">
        <v>148</v>
      </c>
      <c r="F24" s="164" t="s">
        <v>163</v>
      </c>
    </row>
    <row r="25" spans="2:5" ht="12.75">
      <c r="B25" s="161">
        <v>1</v>
      </c>
      <c r="D25" s="160" t="s">
        <v>149</v>
      </c>
      <c r="E25" s="162" t="s">
        <v>150</v>
      </c>
    </row>
    <row r="26" ht="12.75">
      <c r="B26" s="161"/>
    </row>
    <row r="27" spans="2:4" ht="12.75">
      <c r="B27" s="161"/>
      <c r="D27" s="160" t="s">
        <v>155</v>
      </c>
    </row>
    <row r="28" spans="2:4" ht="12.75">
      <c r="B28" s="161">
        <v>1</v>
      </c>
      <c r="D28" s="78" t="s">
        <v>153</v>
      </c>
    </row>
    <row r="29" spans="2:4" ht="12.75">
      <c r="B29" s="161">
        <v>1</v>
      </c>
      <c r="D29" s="78" t="s">
        <v>154</v>
      </c>
    </row>
    <row r="30" spans="2:5" ht="12.75">
      <c r="B30" s="161">
        <v>1</v>
      </c>
      <c r="D30" s="78" t="s">
        <v>156</v>
      </c>
      <c r="E30" s="164"/>
    </row>
    <row r="31" spans="2:5" ht="12.75">
      <c r="B31" s="161">
        <v>1</v>
      </c>
      <c r="D31" s="167" t="s">
        <v>164</v>
      </c>
      <c r="E31" s="164"/>
    </row>
    <row r="32" spans="2:4" ht="12.75">
      <c r="B32" s="161">
        <v>1</v>
      </c>
      <c r="D32" s="78" t="s">
        <v>165</v>
      </c>
    </row>
    <row r="33" spans="2:4" ht="12.75">
      <c r="B33" s="161">
        <v>1</v>
      </c>
      <c r="D33" s="78" t="s">
        <v>166</v>
      </c>
    </row>
    <row r="34" spans="2:4" ht="12.75">
      <c r="B34" s="161">
        <v>1</v>
      </c>
      <c r="D34" s="78" t="s">
        <v>167</v>
      </c>
    </row>
    <row r="37" ht="12.75">
      <c r="B37" s="160"/>
    </row>
    <row r="39" spans="2:4" ht="12.75">
      <c r="B39" s="270"/>
      <c r="C39" s="270"/>
      <c r="D39" s="270"/>
    </row>
    <row r="40" spans="2:4" ht="12.75">
      <c r="B40" s="270"/>
      <c r="C40" s="270"/>
      <c r="D40" s="270"/>
    </row>
    <row r="41" spans="2:4" ht="12.75">
      <c r="B41" s="270"/>
      <c r="C41" s="270"/>
      <c r="D41" s="270"/>
    </row>
    <row r="42" spans="2:4" ht="12.75">
      <c r="B42" s="270"/>
      <c r="C42" s="270"/>
      <c r="D42" s="270"/>
    </row>
    <row r="46" ht="12.75">
      <c r="B46" s="169"/>
    </row>
    <row r="50" ht="12.75">
      <c r="B50" s="78"/>
    </row>
    <row r="51" ht="12.75">
      <c r="B51" s="78"/>
    </row>
  </sheetData>
  <sheetProtection/>
  <conditionalFormatting sqref="B2:B34">
    <cfRule type="iconSet" priority="3" dxfId="0">
      <iconSet iconSet="3Symbols2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P01 Anexa 1.</dc:title>
  <dc:subject/>
  <dc:creator>DMC</dc:creator>
  <cp:keywords/>
  <dc:description/>
  <cp:lastModifiedBy>Mihai Leonard Duduman</cp:lastModifiedBy>
  <cp:lastPrinted>2022-07-22T08:25:33Z</cp:lastPrinted>
  <dcterms:created xsi:type="dcterms:W3CDTF">1998-09-29T12:25:23Z</dcterms:created>
  <dcterms:modified xsi:type="dcterms:W3CDTF">2022-07-22T08:37:33Z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