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00" tabRatio="936" activeTab="12"/>
  </bookViews>
  <sheets>
    <sheet name="pagina 1" sheetId="1" r:id="rId1"/>
    <sheet name="an I" sheetId="2" r:id="rId2"/>
    <sheet name="an II" sheetId="3" r:id="rId3"/>
    <sheet name="an III" sheetId="4" r:id="rId4"/>
    <sheet name="an IV" sheetId="5" r:id="rId5"/>
    <sheet name="Bilant" sheetId="6" r:id="rId6"/>
    <sheet name="COMPETENTE" sheetId="7" r:id="rId7"/>
    <sheet name="C Anul I" sheetId="8" state="hidden" r:id="rId8"/>
    <sheet name="C Anul II" sheetId="9" state="hidden" r:id="rId9"/>
    <sheet name="C Anul III" sheetId="10" state="hidden" r:id="rId10"/>
    <sheet name="C Anul IV" sheetId="11" state="hidden" r:id="rId11"/>
    <sheet name="Statistica" sheetId="12" state="hidden" r:id="rId12"/>
    <sheet name="Grila competente IM" sheetId="13" r:id="rId13"/>
    <sheet name="Statistica IM" sheetId="14" state="hidden" r:id="rId14"/>
  </sheets>
  <externalReferences>
    <externalReference r:id="rId17"/>
    <externalReference r:id="rId18"/>
  </externalReferences>
  <definedNames>
    <definedName name="Cerceteaza" localSheetId="6">'COMPETENTE'!#REF!</definedName>
    <definedName name="Granita" localSheetId="6">'COMPETENTE'!#REF!</definedName>
    <definedName name="Obiective" localSheetId="6">'COMPETENTE'!#REF!</definedName>
    <definedName name="Proiecteaza" localSheetId="6">'COMPETENTE'!#REF!</definedName>
  </definedNames>
  <calcPr fullCalcOnLoad="1"/>
</workbook>
</file>

<file path=xl/sharedStrings.xml><?xml version="1.0" encoding="utf-8"?>
<sst xmlns="http://schemas.openxmlformats.org/spreadsheetml/2006/main" count="2287" uniqueCount="631">
  <si>
    <t>Sem. I</t>
  </si>
  <si>
    <t>Sem. II</t>
  </si>
  <si>
    <t>I</t>
  </si>
  <si>
    <t>II</t>
  </si>
  <si>
    <t>III</t>
  </si>
  <si>
    <t>ANUL I</t>
  </si>
  <si>
    <t>Discipline obligatorii</t>
  </si>
  <si>
    <t>Sem. 1</t>
  </si>
  <si>
    <t>Sem. 2</t>
  </si>
  <si>
    <t>C</t>
  </si>
  <si>
    <t>S</t>
  </si>
  <si>
    <t>L</t>
  </si>
  <si>
    <t>P</t>
  </si>
  <si>
    <t>Discipline optionale</t>
  </si>
  <si>
    <t>Discipline facultative</t>
  </si>
  <si>
    <t>Nr. crt.</t>
  </si>
  <si>
    <t>Forma verificare</t>
  </si>
  <si>
    <t>Nr. credite</t>
  </si>
  <si>
    <t>DISCIPLINE FUNDAMENTALE</t>
  </si>
  <si>
    <t>DISCIPLINE COMPLEMENTARE</t>
  </si>
  <si>
    <t>DISCIPLINE DE SPECIALITATE</t>
  </si>
  <si>
    <t xml:space="preserve">PLAN  DE ÎNVĂŢĂMÂNT </t>
  </si>
  <si>
    <t>Universitatea ,,Ştefan cel Mare" Suceava</t>
  </si>
  <si>
    <t>Total ore obligatorii pe săptămână</t>
  </si>
  <si>
    <t>Total ore opţionale pe săptămână</t>
  </si>
  <si>
    <t>Total ore facultative pe săptămână</t>
  </si>
  <si>
    <t>RECAPITULAŢIE</t>
  </si>
  <si>
    <t>PLAN DE ÎNVĂŢĂMÂNT</t>
  </si>
  <si>
    <t>Sem. 3</t>
  </si>
  <si>
    <t>Sem. 4</t>
  </si>
  <si>
    <t>Sem. 5</t>
  </si>
  <si>
    <t>Sem. 6</t>
  </si>
  <si>
    <t>Sem. 7</t>
  </si>
  <si>
    <t>Sem. 8</t>
  </si>
  <si>
    <t>Total</t>
  </si>
  <si>
    <t xml:space="preserve">DISCIPLINE OBLIGATORII </t>
  </si>
  <si>
    <t xml:space="preserve">% </t>
  </si>
  <si>
    <t>realizat</t>
  </si>
  <si>
    <t>recom.</t>
  </si>
  <si>
    <t>DISCIPLINE FACULTATIVE</t>
  </si>
  <si>
    <t>I*</t>
  </si>
  <si>
    <t xml:space="preserve">                                  BILANŢ</t>
  </si>
  <si>
    <t>CATEGORIA DISCIPLINEI</t>
  </si>
  <si>
    <t xml:space="preserve">DISCIPLINE OPŢIONALE </t>
  </si>
  <si>
    <t>NUMĂR ORE CURS / ORE APLICAŢII</t>
  </si>
  <si>
    <t>I* - ore de studiu individual</t>
  </si>
  <si>
    <t xml:space="preserve">Practică </t>
  </si>
  <si>
    <t>TOTAL Obligatorii şi opţionale</t>
  </si>
  <si>
    <t>TOTAL Ore program de studiu</t>
  </si>
  <si>
    <t>Nr. de ore</t>
  </si>
  <si>
    <t>Curs</t>
  </si>
  <si>
    <t>Aplicaţii</t>
  </si>
  <si>
    <t>Total nr. ore
fizice</t>
  </si>
  <si>
    <t>Nr.</t>
  </si>
  <si>
    <t>Forma de</t>
  </si>
  <si>
    <t>crt.</t>
  </si>
  <si>
    <t>verificare</t>
  </si>
  <si>
    <t>An I</t>
  </si>
  <si>
    <t>An II</t>
  </si>
  <si>
    <t>%</t>
  </si>
  <si>
    <t>Examen</t>
  </si>
  <si>
    <t>Colocviu</t>
  </si>
  <si>
    <t>TOTAL</t>
  </si>
  <si>
    <t>An III</t>
  </si>
  <si>
    <t>An IV</t>
  </si>
  <si>
    <t>Nr. forme de verificare</t>
  </si>
  <si>
    <t>Anul de studii</t>
  </si>
  <si>
    <t>IV</t>
  </si>
  <si>
    <t>Nr. săptămâni</t>
  </si>
  <si>
    <t>Structura anului universitar</t>
  </si>
  <si>
    <t xml:space="preserve"> Nr.ore fizice 
pe săptămână*</t>
  </si>
  <si>
    <t>*Discipline obligatorii + opţionale</t>
  </si>
  <si>
    <t>Universitatea ,,Ştefan cel Mare" din Suceava</t>
  </si>
  <si>
    <t>ANUL II</t>
  </si>
  <si>
    <t>ANUL III</t>
  </si>
  <si>
    <t>ANUL IV</t>
  </si>
  <si>
    <t>Domeniul: INGINERIE MECANICĂ</t>
  </si>
  <si>
    <t>Durata studiilor: 4 ani</t>
  </si>
  <si>
    <t>Sem I</t>
  </si>
  <si>
    <t>Sem II</t>
  </si>
  <si>
    <t>Analiză matematică</t>
  </si>
  <si>
    <t>E</t>
  </si>
  <si>
    <t>DF</t>
  </si>
  <si>
    <t>&gt;17%</t>
  </si>
  <si>
    <t>&gt;38%</t>
  </si>
  <si>
    <t>DC</t>
  </si>
  <si>
    <t>&lt;8%</t>
  </si>
  <si>
    <t>Informatică aplicată</t>
  </si>
  <si>
    <t>DS</t>
  </si>
  <si>
    <t>&gt;25%</t>
  </si>
  <si>
    <t>Chimie</t>
  </si>
  <si>
    <t>Geometrie descriptivă</t>
  </si>
  <si>
    <t>Educaţie fizică (1)</t>
  </si>
  <si>
    <t>Practica</t>
  </si>
  <si>
    <t>Fizică</t>
  </si>
  <si>
    <t>Metode numerice</t>
  </si>
  <si>
    <t>Comunicare</t>
  </si>
  <si>
    <t>Educaţie fizică (2)</t>
  </si>
  <si>
    <t>Anul II</t>
  </si>
  <si>
    <t>Matematici speciale</t>
  </si>
  <si>
    <t>Rezistenţa materialelor (1)</t>
  </si>
  <si>
    <t>Toleranţe şi control dimensional</t>
  </si>
  <si>
    <t>Tehnologia materialelor</t>
  </si>
  <si>
    <t>Educaţie fizică (3)</t>
  </si>
  <si>
    <t>Rezistenţa materialelor (2)</t>
  </si>
  <si>
    <t>Termotehnică</t>
  </si>
  <si>
    <t>Mecanica fluidelor</t>
  </si>
  <si>
    <t>Educaţie fizică (4)</t>
  </si>
  <si>
    <t>Anul III</t>
  </si>
  <si>
    <t>Anul IV</t>
  </si>
  <si>
    <t>Management</t>
  </si>
  <si>
    <t>Biomecanică</t>
  </si>
  <si>
    <t>DD</t>
  </si>
  <si>
    <t>Mecanisme</t>
  </si>
  <si>
    <t>Organe de maşini (1)</t>
  </si>
  <si>
    <t>Mecanisme (1a)</t>
  </si>
  <si>
    <t>Organe de maşini (2)</t>
  </si>
  <si>
    <t>Vibraţii mecanice</t>
  </si>
  <si>
    <t>Electrotehnică şi maşini şi acţionări electrice</t>
  </si>
  <si>
    <t>Acţionări hidraulice şi pneumatice</t>
  </si>
  <si>
    <t>Electronică aplicată</t>
  </si>
  <si>
    <t>Metoda elementului finit</t>
  </si>
  <si>
    <t>Tribologie</t>
  </si>
  <si>
    <t>Ştiinţa şi ingineria materialelor (1)</t>
  </si>
  <si>
    <t>Ştiinţa şi ingineria materialelor (2)</t>
  </si>
  <si>
    <t>Tratamente termice</t>
  </si>
  <si>
    <t>Bazele roboticii</t>
  </si>
  <si>
    <t>Tehnologii pentru maşini cu comandă numerică</t>
  </si>
  <si>
    <t>Oboseala materialelor şi mecanica ruperii</t>
  </si>
  <si>
    <t>Mecanică (2)</t>
  </si>
  <si>
    <t>Economie generală</t>
  </si>
  <si>
    <t>Mecanică (1)</t>
  </si>
  <si>
    <t>Desen tehnic şi infografică (1)</t>
  </si>
  <si>
    <t>Desen tehnic şi infografică (2)</t>
  </si>
  <si>
    <t>Desen Tehnic şi Infografică (2a)</t>
  </si>
  <si>
    <t>Algebră liniară, geometrie analitică
 şi diferenţială</t>
  </si>
  <si>
    <t>Elemente de matematică</t>
  </si>
  <si>
    <t>Elemente de fizică</t>
  </si>
  <si>
    <t xml:space="preserve">Decan,     </t>
  </si>
  <si>
    <t xml:space="preserve">Rector,   </t>
  </si>
  <si>
    <t xml:space="preserve">  </t>
  </si>
  <si>
    <t>Responsabil program de studii,</t>
  </si>
  <si>
    <t>Director departament,</t>
  </si>
  <si>
    <t>Prof.univ.dr.ing. Valentin POPA</t>
  </si>
  <si>
    <t>Prof.univ.dr.ing. Ilie MUSCĂ</t>
  </si>
  <si>
    <t>Conf.univ.dr.ing. Delia CERLINCĂ</t>
  </si>
  <si>
    <r>
      <t xml:space="preserve">                                                       </t>
    </r>
    <r>
      <rPr>
        <b/>
        <sz val="10"/>
        <rFont val="Arial"/>
        <family val="2"/>
      </rPr>
      <t>TOTAL</t>
    </r>
  </si>
  <si>
    <t>Psihologia Educaţiei</t>
  </si>
  <si>
    <t>DC 01 21</t>
  </si>
  <si>
    <t xml:space="preserve">Pedagogie </t>
  </si>
  <si>
    <t>DC 02 22</t>
  </si>
  <si>
    <t>Pedagogie II</t>
  </si>
  <si>
    <t>DC 03 18</t>
  </si>
  <si>
    <t>Didactica specialităţii</t>
  </si>
  <si>
    <t>Fiabilitatea sistemelor mecanice</t>
  </si>
  <si>
    <t>Fiabilitate şi diagnoză</t>
  </si>
  <si>
    <t>Instalaţii frigorifice şi termice</t>
  </si>
  <si>
    <t>Climatizare</t>
  </si>
  <si>
    <t>Managementul calităţii</t>
  </si>
  <si>
    <t>Bazele sudării</t>
  </si>
  <si>
    <t>Managementul proiectelor industriale</t>
  </si>
  <si>
    <t>Structuri sudate</t>
  </si>
  <si>
    <t>Mecanica contactului</t>
  </si>
  <si>
    <t>Instruire asistată de calculator</t>
  </si>
  <si>
    <t>DC 05 21</t>
  </si>
  <si>
    <t>Practică pedagogică în înv.preuniv.oblig.(1)</t>
  </si>
  <si>
    <t>DC 05 22</t>
  </si>
  <si>
    <t>DC 06 23</t>
  </si>
  <si>
    <t>DC 06 24</t>
  </si>
  <si>
    <t>Practică pedagogică în înv.preuniv.oblig.(2)</t>
  </si>
  <si>
    <t>DC 06 25</t>
  </si>
  <si>
    <t>Evaluare finală - portofoliu didactic</t>
  </si>
  <si>
    <t>Managementul clasei de elevi</t>
  </si>
  <si>
    <t xml:space="preserve">Modelarea şi simularea sistemelor mecanice </t>
  </si>
  <si>
    <t>Modelarea şi simularea sistemelor mecanice</t>
  </si>
  <si>
    <t>Metode experimentale în inginerie mecanică</t>
  </si>
  <si>
    <t>Bazele proiectării asistate de calculator</t>
  </si>
  <si>
    <t>Achiziţia şi prelucrarea datelor</t>
  </si>
  <si>
    <t>Mecanica, construcţia şi proiectarea structurilor</t>
  </si>
  <si>
    <t>Organizarea productiei</t>
  </si>
  <si>
    <t>Maşini unelte şi prelucrări prin aşchiere</t>
  </si>
  <si>
    <t>Scule, dispozitive, verificatoare</t>
  </si>
  <si>
    <t>DF 01 02</t>
  </si>
  <si>
    <t>DF 01 01</t>
  </si>
  <si>
    <t>DD 01 03</t>
  </si>
  <si>
    <t>DF 01 04</t>
  </si>
  <si>
    <t>DF 01 05</t>
  </si>
  <si>
    <t>DF 01 06</t>
  </si>
  <si>
    <t>DC 01 07</t>
  </si>
  <si>
    <t>DC 01 08</t>
  </si>
  <si>
    <t>DC 01 09</t>
  </si>
  <si>
    <t>DD 02 10</t>
  </si>
  <si>
    <t>DD 02 11</t>
  </si>
  <si>
    <t>DF 02 12</t>
  </si>
  <si>
    <t>DF 02 13</t>
  </si>
  <si>
    <t>DC 02 17</t>
  </si>
  <si>
    <t>5E</t>
  </si>
  <si>
    <t>3C</t>
  </si>
  <si>
    <t>4E</t>
  </si>
  <si>
    <t>4C</t>
  </si>
  <si>
    <t>1E</t>
  </si>
  <si>
    <t>2C</t>
  </si>
  <si>
    <t>0C</t>
  </si>
  <si>
    <t>Nr. 
credite</t>
  </si>
  <si>
    <t>DF 01 19</t>
  </si>
  <si>
    <t>DF 03 01</t>
  </si>
  <si>
    <t>DD 03 02</t>
  </si>
  <si>
    <t>DD 03 03</t>
  </si>
  <si>
    <t>DD 03 04</t>
  </si>
  <si>
    <t>DD 03 05</t>
  </si>
  <si>
    <t>DD 03 06</t>
  </si>
  <si>
    <t>DF 03 07</t>
  </si>
  <si>
    <t>DC 03 08</t>
  </si>
  <si>
    <t>DF 04 09</t>
  </si>
  <si>
    <t>DD 04 10</t>
  </si>
  <si>
    <t>DD 04 11</t>
  </si>
  <si>
    <t>DD 04 12</t>
  </si>
  <si>
    <t>DD 04 13</t>
  </si>
  <si>
    <t>DD 04 14</t>
  </si>
  <si>
    <t>DD 04 15</t>
  </si>
  <si>
    <t>DC 04 16</t>
  </si>
  <si>
    <t>DD 04 17</t>
  </si>
  <si>
    <t>DD 05 01</t>
  </si>
  <si>
    <t>DD 05 02</t>
  </si>
  <si>
    <t>DD 05 03</t>
  </si>
  <si>
    <t>DS 05 04</t>
  </si>
  <si>
    <t>DS 05 05</t>
  </si>
  <si>
    <t>DS 05 06</t>
  </si>
  <si>
    <t>DD 05 07</t>
  </si>
  <si>
    <t>DD 06 08</t>
  </si>
  <si>
    <t>DD 06 09</t>
  </si>
  <si>
    <t>DD 06 10</t>
  </si>
  <si>
    <t>DD 06 11</t>
  </si>
  <si>
    <t>DD 06 12</t>
  </si>
  <si>
    <t>DS 06 13</t>
  </si>
  <si>
    <t>DS 06 16</t>
  </si>
  <si>
    <t>DS 07 01</t>
  </si>
  <si>
    <t>DS 07 03</t>
  </si>
  <si>
    <t>DS 07 04</t>
  </si>
  <si>
    <t>DS 07 05</t>
  </si>
  <si>
    <t>DS 08 09</t>
  </si>
  <si>
    <t>DS 08 10</t>
  </si>
  <si>
    <t>DS 08 11</t>
  </si>
  <si>
    <t>DS 08 12</t>
  </si>
  <si>
    <t>DS 07 15</t>
  </si>
  <si>
    <t>DS 07 16</t>
  </si>
  <si>
    <t>DS 08 19</t>
  </si>
  <si>
    <t>DS 08 20</t>
  </si>
  <si>
    <t>DS 08 21</t>
  </si>
  <si>
    <t>DS 08 22</t>
  </si>
  <si>
    <t>max 90%</t>
  </si>
  <si>
    <t>min 10%</t>
  </si>
  <si>
    <t>min 10% 
din obligatorii</t>
  </si>
  <si>
    <t>min 110%</t>
  </si>
  <si>
    <t>Practică de domeniu - 90 ore</t>
  </si>
  <si>
    <t>Practică de specialitate - 90 ore</t>
  </si>
  <si>
    <t>Practică proiect de diplomă - 60 ore</t>
  </si>
  <si>
    <t>Forma de învăţământ: IF</t>
  </si>
  <si>
    <t>Examen de diplomă (se acordă după promovarea examenului)</t>
  </si>
  <si>
    <t>credite</t>
  </si>
  <si>
    <t>DS 07 14</t>
  </si>
  <si>
    <t>DS 08 18</t>
  </si>
  <si>
    <t>DC 04 19</t>
  </si>
  <si>
    <t xml:space="preserve">Forma de învăţământ: IF </t>
  </si>
  <si>
    <t>Competenţe profesionale:</t>
  </si>
  <si>
    <t>Competenţe transversale</t>
  </si>
  <si>
    <t>Limbi moderne (1)</t>
  </si>
  <si>
    <t>DC 02 14</t>
  </si>
  <si>
    <t>DF 02 15</t>
  </si>
  <si>
    <t>DC 02 16</t>
  </si>
  <si>
    <t>Limbi moderne (3)</t>
  </si>
  <si>
    <t>DD 06 14</t>
  </si>
  <si>
    <t>DS 05 17</t>
  </si>
  <si>
    <t>DS 05 18</t>
  </si>
  <si>
    <t>DS 06 19</t>
  </si>
  <si>
    <t>DS 06 20</t>
  </si>
  <si>
    <t>Tehnologii de fabricatie</t>
  </si>
  <si>
    <t>Tehnologie de fabricaţie</t>
  </si>
  <si>
    <t>Sisteme şi mijloace de transport</t>
  </si>
  <si>
    <t>Elaborarea proiectului de diplomă - 56 ore</t>
  </si>
  <si>
    <t>Tehnica reglării</t>
  </si>
  <si>
    <t>5C</t>
  </si>
  <si>
    <t>DOMENIUL: INGINERIE MECANICĂ</t>
  </si>
  <si>
    <t>2018-2022</t>
  </si>
  <si>
    <t>Anul I</t>
  </si>
  <si>
    <t>Semestrul I</t>
  </si>
  <si>
    <t>Semestrul II</t>
  </si>
  <si>
    <t>Sem1</t>
  </si>
  <si>
    <t>Sem2</t>
  </si>
  <si>
    <t>initial</t>
  </si>
  <si>
    <t>discipline (4-10)</t>
  </si>
  <si>
    <t>OSI</t>
  </si>
  <si>
    <t>Ore</t>
  </si>
  <si>
    <t>Nr.crt.</t>
  </si>
  <si>
    <t>Tip*</t>
  </si>
  <si>
    <t>Cod</t>
  </si>
  <si>
    <t>Ver.</t>
  </si>
  <si>
    <t>Cred.</t>
  </si>
  <si>
    <t xml:space="preserve"> E</t>
  </si>
  <si>
    <t xml:space="preserve">E </t>
  </si>
  <si>
    <t>Ob</t>
  </si>
  <si>
    <t>Algebră liniară, geometrie analitică şi diferenţială</t>
  </si>
  <si>
    <t>Limbi moderne (2)</t>
  </si>
  <si>
    <t xml:space="preserve"> </t>
  </si>
  <si>
    <t>Total discipline obligatorii</t>
  </si>
  <si>
    <t>E : C</t>
  </si>
  <si>
    <t>Total discipline optionale</t>
  </si>
  <si>
    <t>TOTAL DISCIPLINE OB + OP</t>
  </si>
  <si>
    <t>FAC</t>
  </si>
  <si>
    <t>Fac</t>
  </si>
  <si>
    <t>Pedagogie</t>
  </si>
  <si>
    <t>Total discipline facultative</t>
  </si>
  <si>
    <t>discipline (4-10) fara practica</t>
  </si>
  <si>
    <t>Desen tehnic şi infografică (2a)</t>
  </si>
  <si>
    <t>Practica de domeniu - 90 ore</t>
  </si>
  <si>
    <t>Scule, dispozitive şi verificatoare</t>
  </si>
  <si>
    <t>Practica de specialitate - 90ore</t>
  </si>
  <si>
    <t>Bazele roboticii/ Organizarea producţiei</t>
  </si>
  <si>
    <t>Op1 /Op2</t>
  </si>
  <si>
    <t>Biomecanică/ Achiziţia şi prelucrarea datelor</t>
  </si>
  <si>
    <t>discipline (4-10) fara practica si elaborare</t>
  </si>
  <si>
    <t>Tehnologii de fabricaţie</t>
  </si>
  <si>
    <t>Sisteme si mijloace de transport</t>
  </si>
  <si>
    <t xml:space="preserve">Practică proiect de diplomă - 60 ore </t>
  </si>
  <si>
    <t>Licenta</t>
  </si>
  <si>
    <t>(E lic.)</t>
  </si>
  <si>
    <t>Fiabilitatea sistemelor mecanice/ Fiabilitate şi diagnoză</t>
  </si>
  <si>
    <t>Op1 / Op 2</t>
  </si>
  <si>
    <t>Instalaţii frigorifice şi termice/ Climatizare</t>
  </si>
  <si>
    <t>Tehnologii de asamblare/ Tehnica reglarii</t>
  </si>
  <si>
    <t>Managementul calităţii/ Managementul proiectelor industriale</t>
  </si>
  <si>
    <t>Bazele sudării/ Structuri sudate</t>
  </si>
  <si>
    <t>s</t>
  </si>
  <si>
    <t>STATISTICA PLAN DE INVATAMANT</t>
  </si>
  <si>
    <t>ANUL</t>
  </si>
  <si>
    <t xml:space="preserve">Considerand practica la referinta de 240 ore rezulta: </t>
  </si>
  <si>
    <t>&gt;= 3152</t>
  </si>
  <si>
    <t>1 sapt practica = 30 ore</t>
  </si>
  <si>
    <t>&gt; 3152</t>
  </si>
  <si>
    <t>&lt; 3376</t>
  </si>
  <si>
    <t>&gt; 17%</t>
  </si>
  <si>
    <t>&gt; 38%</t>
  </si>
  <si>
    <t>&gt; 25%</t>
  </si>
  <si>
    <t>&lt; 8%</t>
  </si>
  <si>
    <t>OB</t>
  </si>
  <si>
    <t>OP</t>
  </si>
  <si>
    <t>DID+OSI</t>
  </si>
  <si>
    <t>1 ECTS = 25 ore DID+OSI</t>
  </si>
  <si>
    <t>ore</t>
  </si>
  <si>
    <t>&lt; 90%</t>
  </si>
  <si>
    <t>&gt; 10%</t>
  </si>
  <si>
    <t>DID</t>
  </si>
  <si>
    <t>Numar discipline (4-10 pe semestru) fara practica si elaborare pr.dipl</t>
  </si>
  <si>
    <t>Ore curs</t>
  </si>
  <si>
    <t>Anul</t>
  </si>
  <si>
    <t>sem1</t>
  </si>
  <si>
    <t>sem2</t>
  </si>
  <si>
    <t>Ore aplicatii</t>
  </si>
  <si>
    <t>si practica</t>
  </si>
  <si>
    <t xml:space="preserve">Curs /Aplicatii </t>
  </si>
  <si>
    <t>&lt; 20%</t>
  </si>
  <si>
    <t>Credite</t>
  </si>
  <si>
    <t>Sem1+2</t>
  </si>
  <si>
    <t>OB+OP+Lic</t>
  </si>
  <si>
    <t>(240+10lic)</t>
  </si>
  <si>
    <t>Verificari</t>
  </si>
  <si>
    <t>Examen E</t>
  </si>
  <si>
    <t>&gt; 50%</t>
  </si>
  <si>
    <t>Colocviu C</t>
  </si>
  <si>
    <t>&lt; 50%</t>
  </si>
  <si>
    <t>Total E+C</t>
  </si>
  <si>
    <t>echiv 30 ore/saptamana</t>
  </si>
  <si>
    <t>sapt</t>
  </si>
  <si>
    <t>min 120</t>
  </si>
  <si>
    <t>min 240</t>
  </si>
  <si>
    <t>min 8</t>
  </si>
  <si>
    <t>Ore /sap</t>
  </si>
  <si>
    <t>min 60</t>
  </si>
  <si>
    <t>&gt;26</t>
  </si>
  <si>
    <t>min</t>
  </si>
  <si>
    <t>&lt;28</t>
  </si>
  <si>
    <t>max</t>
  </si>
  <si>
    <t>Nr poiecte</t>
  </si>
  <si>
    <t>media</t>
  </si>
  <si>
    <t>fara elaborare pr.diploma</t>
  </si>
  <si>
    <t>&gt;=4</t>
  </si>
  <si>
    <t>&lt;=12</t>
  </si>
  <si>
    <t>Cod disciplină USV.FIM.IM</t>
  </si>
  <si>
    <t xml:space="preserve">Curs Ore </t>
  </si>
  <si>
    <t>Aplicatii</t>
  </si>
  <si>
    <t>fara practica</t>
  </si>
  <si>
    <t xml:space="preserve">Total ore </t>
  </si>
  <si>
    <t xml:space="preserve">Ore 
curs </t>
  </si>
  <si>
    <t>Ore 
aplicatii</t>
  </si>
  <si>
    <t>DF O 01 01</t>
  </si>
  <si>
    <t>Marchitan</t>
  </si>
  <si>
    <t>DF O 01 02</t>
  </si>
  <si>
    <t>DD O 01 03</t>
  </si>
  <si>
    <t>Dulucheanu</t>
  </si>
  <si>
    <t>DF A 01 04</t>
  </si>
  <si>
    <t>Pirghie</t>
  </si>
  <si>
    <t>DF O 01 05</t>
  </si>
  <si>
    <t>Bulai</t>
  </si>
  <si>
    <t>DF O 01 06</t>
  </si>
  <si>
    <t>Spinu</t>
  </si>
  <si>
    <t>DC O 01 07</t>
  </si>
  <si>
    <t>cu practica</t>
  </si>
  <si>
    <t>DC O 01 08</t>
  </si>
  <si>
    <t>DC O 01 09</t>
  </si>
  <si>
    <t>Martinescu</t>
  </si>
  <si>
    <t>DD O 02 10</t>
  </si>
  <si>
    <t>Irimescu</t>
  </si>
  <si>
    <t>DD O 02 11</t>
  </si>
  <si>
    <t>DF O 02 13</t>
  </si>
  <si>
    <t>DF A 02 14</t>
  </si>
  <si>
    <t>Musca</t>
  </si>
  <si>
    <t>Total ore=</t>
  </si>
  <si>
    <t>ore obligatorii=ore impuse+optionale</t>
  </si>
  <si>
    <t>DC A 02 15</t>
  </si>
  <si>
    <t>ore facultative</t>
  </si>
  <si>
    <t>DF O 02 16</t>
  </si>
  <si>
    <t>Cerlinca</t>
  </si>
  <si>
    <t>DC O 02 17</t>
  </si>
  <si>
    <t>DC O 02 18</t>
  </si>
  <si>
    <t>Nr. Ore</t>
  </si>
  <si>
    <t>Obligatorii</t>
  </si>
  <si>
    <t>Obligatorii- trebuie max 90% din totalul orelor</t>
  </si>
  <si>
    <t>Optionale</t>
  </si>
  <si>
    <t>Optionale - trebuie min 10% din total</t>
  </si>
  <si>
    <t>DF A 03 01</t>
  </si>
  <si>
    <t>DD O 03 02</t>
  </si>
  <si>
    <t>DD O 03 03</t>
  </si>
  <si>
    <t>Glovnea</t>
  </si>
  <si>
    <t>obligatorii cu practica</t>
  </si>
  <si>
    <t>DD O 03 04</t>
  </si>
  <si>
    <t>Alaci</t>
  </si>
  <si>
    <t>DD O 03 05</t>
  </si>
  <si>
    <t>Potorac</t>
  </si>
  <si>
    <t>DD O 03 06</t>
  </si>
  <si>
    <t>Cobzaru</t>
  </si>
  <si>
    <t>DF O 03 07</t>
  </si>
  <si>
    <t>Raport curs/Aplicatii</t>
  </si>
  <si>
    <t>Se încadrează &gt;0,80</t>
  </si>
  <si>
    <t>DC O 03 08</t>
  </si>
  <si>
    <t>DF O 04 09</t>
  </si>
  <si>
    <t>DD O 04 10</t>
  </si>
  <si>
    <t>Practica=</t>
  </si>
  <si>
    <t>DD O 04 11</t>
  </si>
  <si>
    <t>DD O 04 12</t>
  </si>
  <si>
    <t>Mihai</t>
  </si>
  <si>
    <t>DD A 04 13</t>
  </si>
  <si>
    <t>Ciornei</t>
  </si>
  <si>
    <t>DD A 04 14</t>
  </si>
  <si>
    <t>Barba</t>
  </si>
  <si>
    <t>DD A 04 15</t>
  </si>
  <si>
    <t>Graur</t>
  </si>
  <si>
    <t>DC O 04 16</t>
  </si>
  <si>
    <t>DD O 04 17</t>
  </si>
  <si>
    <t>Facultative</t>
  </si>
  <si>
    <t>Facultative -trebuie min 10% din obligatorii</t>
  </si>
  <si>
    <t>DD O 05 01</t>
  </si>
  <si>
    <t>DD O 05 02</t>
  </si>
  <si>
    <t>DD O 05 03</t>
  </si>
  <si>
    <t>DS O 05 04</t>
  </si>
  <si>
    <t>DS O 05 05</t>
  </si>
  <si>
    <t>DS O 05 06</t>
  </si>
  <si>
    <t>DD A 05 07</t>
  </si>
  <si>
    <t>Mironeasa</t>
  </si>
  <si>
    <t>DD O 06 08</t>
  </si>
  <si>
    <t>DD O 06 09</t>
  </si>
  <si>
    <t>DD O 06 10</t>
  </si>
  <si>
    <t>DD O 06 11</t>
  </si>
  <si>
    <t>DD A 06 12</t>
  </si>
  <si>
    <t>Amarandei/Besliu</t>
  </si>
  <si>
    <t>DS O 06 13</t>
  </si>
  <si>
    <t>Severin</t>
  </si>
  <si>
    <t>Ciornei/Suciu</t>
  </si>
  <si>
    <t>DS O 06 16</t>
  </si>
  <si>
    <t>DS O 07 01</t>
  </si>
  <si>
    <t>DS O 07 03</t>
  </si>
  <si>
    <t>DS O 07 04</t>
  </si>
  <si>
    <t>DS O 07 05</t>
  </si>
  <si>
    <t>DS O 07 06</t>
  </si>
  <si>
    <t>DD O 07 07</t>
  </si>
  <si>
    <t>DS O 07 08</t>
  </si>
  <si>
    <t>DS O 08 09</t>
  </si>
  <si>
    <t>Irimescu/Alaci</t>
  </si>
  <si>
    <t>DS O 08 10</t>
  </si>
  <si>
    <t>DS O 08 11</t>
  </si>
  <si>
    <t>Pirghie A</t>
  </si>
  <si>
    <t>DS O 08 12</t>
  </si>
  <si>
    <t>Examen de diplomă</t>
  </si>
  <si>
    <t>DS O 08 13</t>
  </si>
  <si>
    <t>10*</t>
  </si>
  <si>
    <t>Opţionale-Anul III</t>
  </si>
  <si>
    <t>DS A O5 17</t>
  </si>
  <si>
    <t>Ionescu</t>
  </si>
  <si>
    <t>DS A O5 18</t>
  </si>
  <si>
    <t>DS A O6 19</t>
  </si>
  <si>
    <t>DS A O6 20</t>
  </si>
  <si>
    <t>Opţionale-Anul IV</t>
  </si>
  <si>
    <t>DS A 07 15</t>
  </si>
  <si>
    <t>Potorac/Suciu</t>
  </si>
  <si>
    <t>DS A 07 16</t>
  </si>
  <si>
    <t>DS A 07 17</t>
  </si>
  <si>
    <t>DS A 07 18</t>
  </si>
  <si>
    <t>DS A 08 19</t>
  </si>
  <si>
    <t>DS A 08 20</t>
  </si>
  <si>
    <t>DS A 08 21</t>
  </si>
  <si>
    <t>DS A 08 22</t>
  </si>
  <si>
    <t>DS A 08 23</t>
  </si>
  <si>
    <t>DS A 08 24</t>
  </si>
  <si>
    <t>Ex</t>
  </si>
  <si>
    <t>Elemente de matematica</t>
  </si>
  <si>
    <t>DF.O1.20</t>
  </si>
  <si>
    <t>Elemente de fizica</t>
  </si>
  <si>
    <t>DF.O1.21</t>
  </si>
  <si>
    <t>DC 04 18</t>
  </si>
  <si>
    <t>DD O 06 14</t>
  </si>
  <si>
    <t xml:space="preserve">DC O 06 15 </t>
  </si>
  <si>
    <t>Elaborare lucrare de licenţă - 56 ore</t>
  </si>
  <si>
    <t>Tehnologii de asamblare</t>
  </si>
  <si>
    <t>6E</t>
  </si>
  <si>
    <t>DS 07 02</t>
  </si>
  <si>
    <t>DD 07 06</t>
  </si>
  <si>
    <t>DS 08 07</t>
  </si>
  <si>
    <t>DS 08 08</t>
  </si>
  <si>
    <t>Organe de maşini (1a)</t>
  </si>
  <si>
    <t>Organe de maşini (2a)</t>
  </si>
  <si>
    <t>Tehnologii pentru maşini cu comandă numerică (1)</t>
  </si>
  <si>
    <t>Tehnologii pentru maşini cu comandă numerică (1a)</t>
  </si>
  <si>
    <t>Mecanisme (1)</t>
  </si>
  <si>
    <t>CT1 Respectarea principiilor, normelor şi valorilor codului de etică profesională prin abordarea unei strategii de muncă riguroasă, eficientă şi responsabilă în rezolvarea problemelor şi luarea deciziilor.</t>
  </si>
  <si>
    <t>CT2 Aplicarea tehnicilor de relaţionare şi muncă eficientă în echipă multidisciplinară, pe diverse paliere ierarhice, în cadrul colectivului de lucru-managementul de proiect specific.</t>
  </si>
  <si>
    <t>CT3 Utilizarea adecvată a metodelor şi tehnicilor eficiente de învăţare pe durata întregii vieţi; utilizarea  adecvată de informaţii şi comunicarea orală şi scrisă într-o limbă de circulaţie europeană.</t>
  </si>
  <si>
    <t>DF 01 18</t>
  </si>
  <si>
    <t>DC 01 20</t>
  </si>
  <si>
    <t>DC 02 21</t>
  </si>
  <si>
    <t>DS 07 13</t>
  </si>
  <si>
    <t>DS 08 17</t>
  </si>
  <si>
    <t>DS 06 30</t>
  </si>
  <si>
    <t>DS 07 23</t>
  </si>
  <si>
    <t>DS 07 26</t>
  </si>
  <si>
    <t>DS 05 27</t>
  </si>
  <si>
    <t>DS 07 24</t>
  </si>
  <si>
    <t>DS 07 25</t>
  </si>
  <si>
    <t xml:space="preserve">DS 05 26 </t>
  </si>
  <si>
    <t>DS 06 28</t>
  </si>
  <si>
    <t>DS 06 29</t>
  </si>
  <si>
    <t>Antreprenoriat</t>
  </si>
  <si>
    <t>Dinamică</t>
  </si>
  <si>
    <t>Dinamica vehiculelor rutiere</t>
  </si>
  <si>
    <t>Componente electronice ale vehiculelor rutiere</t>
  </si>
  <si>
    <t>Dinamica vehiculelor rutiere  - proiect</t>
  </si>
  <si>
    <t>Construcția vehiculelor rutiere</t>
  </si>
  <si>
    <t>Construcția vehiculelor rutiere
- proiect</t>
  </si>
  <si>
    <t>Motoare cu ardere internă</t>
  </si>
  <si>
    <t>Motoare cu ardere internă - proiect</t>
  </si>
  <si>
    <t>Diagnosticarea vehiculelor rutiere</t>
  </si>
  <si>
    <t>Inventică</t>
  </si>
  <si>
    <t>DS 08 27</t>
  </si>
  <si>
    <t>DS 08 28</t>
  </si>
  <si>
    <t>Facultatea de Inginerie Mecanică, Autovehicule și Robotică</t>
  </si>
  <si>
    <t>CP1 Identificarea, definirea, utilizarea noţiunilor din ştiinţele fundamentale specifice domeniului ingineriei.</t>
  </si>
  <si>
    <t>CP2 Utilizarea principiilor şi instrumentelor grafice pentru descrierea şi proiectarea sistemelor şi proceselor mecanice.</t>
  </si>
  <si>
    <t>CP3 Alegerea, instalarea, exploatarea şi mentenanţa sistemelor din domeniul ingineriei mecanice.</t>
  </si>
  <si>
    <t>CP4 Aplicarea metodelor de proiectare, analiză şi testare a elementelor şi sistemelor mecanice.</t>
  </si>
  <si>
    <t>CP5 Interpretarea şi fundamentarea pe criterii tehnologice, funcţionale şi economice a soluţiilor sistemelor mecanice.</t>
  </si>
  <si>
    <t>CP6 Implementarea şi coordonarea sistemului de management al calităţii.</t>
  </si>
  <si>
    <t>2P</t>
  </si>
  <si>
    <t>Colocvii si proiecte</t>
  </si>
  <si>
    <t>1P</t>
  </si>
  <si>
    <t xml:space="preserve">DISCIPLINE ÎN DOMENIU </t>
  </si>
  <si>
    <t>Universitatea ”Ștefan cel Mare” din Suceava</t>
  </si>
  <si>
    <t>Facultatea: de Inginerie Mecanică, Autovehicule și Robotică</t>
  </si>
  <si>
    <t>Domeniul: Inginerie Mecanică</t>
  </si>
  <si>
    <t>Grila competențelor</t>
  </si>
  <si>
    <t>Repartizarea pe discipline a creditelor acumulate în funcție de creditele alocate pentru fiecare dintre competențele atribuite.</t>
  </si>
  <si>
    <t>CP1</t>
  </si>
  <si>
    <t>CP2</t>
  </si>
  <si>
    <t>CP3</t>
  </si>
  <si>
    <t>CP4</t>
  </si>
  <si>
    <t>CP5</t>
  </si>
  <si>
    <t>CP6</t>
  </si>
  <si>
    <t>CT1</t>
  </si>
  <si>
    <t>CT2</t>
  </si>
  <si>
    <t>CT3</t>
  </si>
  <si>
    <t>Total credite</t>
  </si>
  <si>
    <t>Competenta profesionala/                       Denumirea disciplinei</t>
  </si>
  <si>
    <t>Denumire disciplina</t>
  </si>
  <si>
    <t>AN I</t>
  </si>
  <si>
    <t>Desen tehnic și infografică (1)</t>
  </si>
  <si>
    <t>AN II</t>
  </si>
  <si>
    <t>AN III</t>
  </si>
  <si>
    <t>4*</t>
  </si>
  <si>
    <t>AN IV</t>
  </si>
  <si>
    <t>1*</t>
  </si>
  <si>
    <t>3*</t>
  </si>
  <si>
    <t>TOTAL CREDITE</t>
  </si>
  <si>
    <t>Didactica Specialităţii</t>
  </si>
  <si>
    <t>TOTAL CREDITE FACULTATIVE</t>
  </si>
  <si>
    <t>Decan,</t>
  </si>
  <si>
    <t>Conf.dr.ing. Delia CERLINCĂ</t>
  </si>
  <si>
    <t>Program de studiu:  Echipamente pentru procese industriale</t>
  </si>
  <si>
    <t>DC 06 15</t>
  </si>
  <si>
    <t>Valabil începând cu anul I, anul universitar: 2023-2024</t>
  </si>
  <si>
    <t>Programul de studiu: ECHIPAMENTE PENTRU PROCESE INDUSTRIALE</t>
  </si>
  <si>
    <t>Proiectare asistată de calculator</t>
  </si>
  <si>
    <t>Tratamente termice și termochimice</t>
  </si>
  <si>
    <t>Ingineria calității</t>
  </si>
  <si>
    <t>Instalaţii frigorifice şi de climatizare</t>
  </si>
  <si>
    <t>Mentenența și fiabilitatea instalațiilor</t>
  </si>
  <si>
    <t>Tehnologii și echipamente pentru deformări plastice la rece</t>
  </si>
  <si>
    <t>Sisteme şi instalații de transport uzinal</t>
  </si>
  <si>
    <t>Mecatronică și elemente de robotică</t>
  </si>
  <si>
    <t>Echipamente și instalații de încălzire</t>
  </si>
  <si>
    <t>Control dimensional integrat</t>
  </si>
  <si>
    <t>Simulare în teoria elasticității și plasticității</t>
  </si>
  <si>
    <r>
      <rPr>
        <sz val="6"/>
        <rFont val="Arial"/>
        <family val="2"/>
      </rPr>
      <t>Echipamente și tehnologii pentru asamblarea produse</t>
    </r>
    <r>
      <rPr>
        <sz val="7"/>
        <rFont val="Arial"/>
        <family val="2"/>
      </rPr>
      <t>lor</t>
    </r>
  </si>
  <si>
    <t>Echipamente și tehnologii de sudără</t>
  </si>
  <si>
    <t xml:space="preserve">Modelarea 3D a structurilor mecanice (SOLID WORKS) (1) </t>
  </si>
  <si>
    <t>Modelarea 3D a structurilor mecanice (SOLID WORKS) (1a)</t>
  </si>
  <si>
    <t>Tehnologii și echipamente pentru industria lemnului</t>
  </si>
  <si>
    <t>Echipamente și instalații pentru prevenirea poluării mediului</t>
  </si>
  <si>
    <t>Ingineria și protecția mediului în industrie</t>
  </si>
  <si>
    <t>Asamblarea și mentenanța echipamentelor de proces</t>
  </si>
  <si>
    <t>Tehnologii și echipamente în ingineria suprafețelor</t>
  </si>
  <si>
    <t xml:space="preserve">Fabricarea structurilor din materiale compozite </t>
  </si>
  <si>
    <t>Construcția vehiculelor rutiere - proiect</t>
  </si>
  <si>
    <t>Onesim</t>
  </si>
  <si>
    <t>Nacu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</si>
</sst>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.00\ &quot;RON&quot;_-;\-* #,##0.00\ &quot;RON&quot;_-;_-* &quot;-&quot;??\ &quot;RON&quot;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0;[Red]0.00"/>
    <numFmt numFmtId="189" formatCode="0.000"/>
    <numFmt numFmtId="190" formatCode="0.0"/>
    <numFmt numFmtId="191" formatCode="0.0;[Red]0.0"/>
    <numFmt numFmtId="192" formatCode="0;[Red]0"/>
    <numFmt numFmtId="193" formatCode="0.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0.0%"/>
    <numFmt numFmtId="204" formatCode="0.000000000"/>
    <numFmt numFmtId="205" formatCode="0.00000000"/>
    <numFmt numFmtId="206" formatCode="0.0000000"/>
    <numFmt numFmtId="207" formatCode="0;\-0;;@"/>
  </numFmts>
  <fonts count="8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b/>
      <sz val="8"/>
      <color indexed="57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sz val="8"/>
      <color indexed="58"/>
      <name val="Arial"/>
      <family val="2"/>
    </font>
    <font>
      <sz val="8"/>
      <color indexed="60"/>
      <name val="Arial"/>
      <family val="2"/>
    </font>
    <font>
      <sz val="7"/>
      <color indexed="60"/>
      <name val="Arial"/>
      <family val="2"/>
    </font>
    <font>
      <sz val="8"/>
      <color indexed="16"/>
      <name val="Arial"/>
      <family val="2"/>
    </font>
    <font>
      <sz val="7"/>
      <color indexed="16"/>
      <name val="Arial"/>
      <family val="2"/>
    </font>
    <font>
      <sz val="8"/>
      <color indexed="53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2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3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5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center" vertical="center"/>
    </xf>
    <xf numFmtId="0" fontId="0" fillId="0" borderId="46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center" vertical="center"/>
    </xf>
    <xf numFmtId="0" fontId="0" fillId="0" borderId="25" xfId="0" applyFont="1" applyBorder="1" applyAlignment="1">
      <alignment horizontal="justify" vertical="top" wrapText="1"/>
    </xf>
    <xf numFmtId="0" fontId="0" fillId="0" borderId="13" xfId="0" applyFont="1" applyBorder="1" applyAlignment="1">
      <alignment horizontal="center" vertical="center"/>
    </xf>
    <xf numFmtId="2" fontId="0" fillId="0" borderId="48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top" wrapText="1"/>
    </xf>
    <xf numFmtId="0" fontId="0" fillId="0" borderId="29" xfId="0" applyFont="1" applyFill="1" applyBorder="1" applyAlignment="1">
      <alignment horizontal="justify" vertical="top" wrapText="1"/>
    </xf>
    <xf numFmtId="0" fontId="0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top" wrapText="1"/>
    </xf>
    <xf numFmtId="0" fontId="0" fillId="0" borderId="49" xfId="0" applyFont="1" applyBorder="1" applyAlignment="1">
      <alignment horizontal="center" vertical="center"/>
    </xf>
    <xf numFmtId="0" fontId="0" fillId="0" borderId="27" xfId="0" applyFont="1" applyBorder="1" applyAlignment="1">
      <alignment horizontal="justify" vertical="top" wrapText="1"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/>
    </xf>
    <xf numFmtId="0" fontId="0" fillId="0" borderId="47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top" wrapText="1"/>
    </xf>
    <xf numFmtId="2" fontId="0" fillId="0" borderId="50" xfId="0" applyNumberFormat="1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3" xfId="0" applyFont="1" applyBorder="1" applyAlignment="1">
      <alignment horizontal="justify" vertical="top" wrapText="1"/>
    </xf>
    <xf numFmtId="0" fontId="0" fillId="0" borderId="25" xfId="0" applyFont="1" applyBorder="1" applyAlignment="1">
      <alignment horizontal="center" vertical="top" wrapText="1"/>
    </xf>
    <xf numFmtId="2" fontId="0" fillId="0" borderId="48" xfId="0" applyNumberFormat="1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/>
    </xf>
    <xf numFmtId="0" fontId="0" fillId="0" borderId="47" xfId="0" applyFont="1" applyBorder="1" applyAlignment="1">
      <alignment horizontal="justify" vertical="top" wrapText="1"/>
    </xf>
    <xf numFmtId="2" fontId="0" fillId="0" borderId="51" xfId="0" applyNumberFormat="1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/>
    </xf>
    <xf numFmtId="0" fontId="0" fillId="0" borderId="49" xfId="0" applyFont="1" applyBorder="1" applyAlignment="1">
      <alignment vertical="top"/>
    </xf>
    <xf numFmtId="0" fontId="0" fillId="0" borderId="49" xfId="0" applyFont="1" applyBorder="1" applyAlignment="1">
      <alignment wrapText="1"/>
    </xf>
    <xf numFmtId="0" fontId="0" fillId="0" borderId="49" xfId="0" applyFont="1" applyBorder="1" applyAlignment="1">
      <alignment horizontal="center" vertical="top" wrapText="1"/>
    </xf>
    <xf numFmtId="2" fontId="0" fillId="0" borderId="49" xfId="0" applyNumberFormat="1" applyFont="1" applyBorder="1" applyAlignment="1">
      <alignment horizontal="center" vertical="top" wrapText="1"/>
    </xf>
    <xf numFmtId="0" fontId="0" fillId="0" borderId="4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9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5" fillId="0" borderId="57" xfId="0" applyFont="1" applyBorder="1" applyAlignment="1">
      <alignment horizontal="right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0" fillId="0" borderId="27" xfId="0" applyFont="1" applyBorder="1" applyAlignment="1">
      <alignment horizontal="right" wrapText="1"/>
    </xf>
    <xf numFmtId="0" fontId="1" fillId="0" borderId="4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92" fontId="1" fillId="0" borderId="32" xfId="0" applyNumberFormat="1" applyFont="1" applyFill="1" applyBorder="1" applyAlignment="1">
      <alignment horizontal="center"/>
    </xf>
    <xf numFmtId="190" fontId="1" fillId="0" borderId="32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4" xfId="59" applyFont="1" applyFill="1" applyBorder="1" applyAlignment="1">
      <alignment horizontal="center"/>
      <protection/>
    </xf>
    <xf numFmtId="0" fontId="1" fillId="0" borderId="32" xfId="59" applyFont="1" applyFill="1" applyBorder="1" applyAlignment="1">
      <alignment horizontal="center"/>
      <protection/>
    </xf>
    <xf numFmtId="0" fontId="1" fillId="0" borderId="33" xfId="0" applyFont="1" applyFill="1" applyBorder="1" applyAlignment="1">
      <alignment horizontal="center"/>
    </xf>
    <xf numFmtId="0" fontId="1" fillId="0" borderId="43" xfId="59" applyFont="1" applyFill="1" applyBorder="1" applyAlignment="1">
      <alignment horizontal="center"/>
      <protection/>
    </xf>
    <xf numFmtId="0" fontId="1" fillId="0" borderId="19" xfId="59" applyFont="1" applyFill="1" applyBorder="1" applyAlignment="1">
      <alignment horizontal="center"/>
      <protection/>
    </xf>
    <xf numFmtId="0" fontId="1" fillId="0" borderId="23" xfId="0" applyFont="1" applyBorder="1" applyAlignment="1">
      <alignment/>
    </xf>
    <xf numFmtId="0" fontId="1" fillId="0" borderId="65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" fillId="0" borderId="34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66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" fillId="0" borderId="5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0" xfId="0" applyFont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" fontId="2" fillId="0" borderId="32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/>
    </xf>
    <xf numFmtId="1" fontId="2" fillId="0" borderId="67" xfId="0" applyNumberFormat="1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3" xfId="59" applyFont="1" applyFill="1" applyBorder="1">
      <alignment/>
      <protection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61" xfId="59" applyFont="1" applyFill="1" applyBorder="1">
      <alignment/>
      <protection/>
    </xf>
    <xf numFmtId="0" fontId="1" fillId="0" borderId="41" xfId="0" applyFont="1" applyFill="1" applyBorder="1" applyAlignment="1">
      <alignment horizontal="center"/>
    </xf>
    <xf numFmtId="0" fontId="1" fillId="0" borderId="42" xfId="59" applyFont="1" applyFill="1" applyBorder="1" applyAlignment="1">
      <alignment horizontal="center"/>
      <protection/>
    </xf>
    <xf numFmtId="0" fontId="1" fillId="0" borderId="5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52" xfId="0" applyNumberFormat="1" applyFont="1" applyFill="1" applyBorder="1" applyAlignment="1">
      <alignment horizont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29" xfId="0" applyFont="1" applyFill="1" applyBorder="1" applyAlignment="1">
      <alignment/>
    </xf>
    <xf numFmtId="0" fontId="2" fillId="0" borderId="53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29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49" fontId="2" fillId="0" borderId="70" xfId="0" applyNumberFormat="1" applyFont="1" applyFill="1" applyBorder="1" applyAlignment="1">
      <alignment horizontal="center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9" xfId="0" applyNumberFormat="1" applyFont="1" applyBorder="1" applyAlignment="1">
      <alignment horizontal="center" vertical="center" wrapText="1"/>
    </xf>
    <xf numFmtId="10" fontId="0" fillId="0" borderId="48" xfId="0" applyNumberFormat="1" applyFont="1" applyBorder="1" applyAlignment="1">
      <alignment horizontal="center" vertical="center" wrapText="1"/>
    </xf>
    <xf numFmtId="10" fontId="0" fillId="0" borderId="29" xfId="0" applyNumberFormat="1" applyFont="1" applyBorder="1" applyAlignment="1">
      <alignment horizontal="center" vertical="center"/>
    </xf>
    <xf numFmtId="10" fontId="0" fillId="0" borderId="71" xfId="0" applyNumberFormat="1" applyFont="1" applyBorder="1" applyAlignment="1">
      <alignment horizontal="center" vertical="center" wrapText="1"/>
    </xf>
    <xf numFmtId="10" fontId="0" fillId="0" borderId="47" xfId="0" applyNumberFormat="1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center" vertical="top" wrapText="1"/>
    </xf>
    <xf numFmtId="10" fontId="0" fillId="0" borderId="26" xfId="0" applyNumberFormat="1" applyFont="1" applyBorder="1" applyAlignment="1">
      <alignment horizontal="center" vertical="top" wrapText="1"/>
    </xf>
    <xf numFmtId="9" fontId="0" fillId="0" borderId="28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0" fontId="5" fillId="0" borderId="64" xfId="0" applyNumberFormat="1" applyFont="1" applyBorder="1" applyAlignment="1">
      <alignment horizontal="center"/>
    </xf>
    <xf numFmtId="10" fontId="5" fillId="0" borderId="72" xfId="0" applyNumberFormat="1" applyFont="1" applyBorder="1" applyAlignment="1">
      <alignment horizontal="center"/>
    </xf>
    <xf numFmtId="9" fontId="0" fillId="0" borderId="7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0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0" fillId="0" borderId="0" xfId="0" applyFont="1" applyAlignment="1">
      <alignment horizontal="justify" wrapText="1"/>
    </xf>
    <xf numFmtId="0" fontId="20" fillId="0" borderId="0" xfId="0" applyFont="1" applyAlignment="1">
      <alignment horizontal="justify" vertical="top" wrapText="1"/>
    </xf>
    <xf numFmtId="0" fontId="5" fillId="0" borderId="7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6" xfId="0" applyBorder="1" applyAlignment="1">
      <alignment/>
    </xf>
    <xf numFmtId="0" fontId="0" fillId="35" borderId="0" xfId="0" applyFill="1" applyAlignment="1">
      <alignment/>
    </xf>
    <xf numFmtId="0" fontId="0" fillId="34" borderId="0" xfId="0" applyFont="1" applyFill="1" applyAlignment="1">
      <alignment/>
    </xf>
    <xf numFmtId="0" fontId="5" fillId="0" borderId="70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2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Fill="1" applyBorder="1" applyAlignment="1">
      <alignment horizontal="left" wrapText="1"/>
    </xf>
    <xf numFmtId="0" fontId="0" fillId="0" borderId="32" xfId="0" applyFill="1" applyBorder="1" applyAlignment="1">
      <alignment wrapText="1"/>
    </xf>
    <xf numFmtId="0" fontId="0" fillId="0" borderId="32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4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5" fillId="0" borderId="70" xfId="0" applyFont="1" applyFill="1" applyBorder="1" applyAlignment="1">
      <alignment/>
    </xf>
    <xf numFmtId="0" fontId="0" fillId="0" borderId="32" xfId="0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32" xfId="0" applyFont="1" applyFill="1" applyBorder="1" applyAlignment="1">
      <alignment wrapText="1"/>
    </xf>
    <xf numFmtId="0" fontId="0" fillId="37" borderId="0" xfId="0" applyFill="1" applyAlignment="1">
      <alignment/>
    </xf>
    <xf numFmtId="0" fontId="0" fillId="0" borderId="32" xfId="0" applyFont="1" applyFill="1" applyBorder="1" applyAlignment="1">
      <alignment horizontal="left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0" fillId="0" borderId="32" xfId="0" applyFill="1" applyBorder="1" applyAlignment="1">
      <alignment horizontal="center" wrapText="1"/>
    </xf>
    <xf numFmtId="0" fontId="5" fillId="0" borderId="7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38" borderId="0" xfId="0" applyFill="1" applyAlignment="1">
      <alignment/>
    </xf>
    <xf numFmtId="0" fontId="0" fillId="0" borderId="32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0" borderId="22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39" borderId="31" xfId="0" applyFill="1" applyBorder="1" applyAlignment="1">
      <alignment/>
    </xf>
    <xf numFmtId="0" fontId="0" fillId="0" borderId="36" xfId="0" applyBorder="1" applyAlignment="1">
      <alignment horizontal="center"/>
    </xf>
    <xf numFmtId="0" fontId="0" fillId="39" borderId="0" xfId="0" applyFill="1" applyBorder="1" applyAlignment="1">
      <alignment/>
    </xf>
    <xf numFmtId="0" fontId="0" fillId="0" borderId="31" xfId="0" applyBorder="1" applyAlignment="1">
      <alignment/>
    </xf>
    <xf numFmtId="0" fontId="0" fillId="0" borderId="36" xfId="0" applyFill="1" applyBorder="1" applyAlignment="1">
      <alignment horizontal="center"/>
    </xf>
    <xf numFmtId="0" fontId="0" fillId="37" borderId="74" xfId="0" applyFill="1" applyBorder="1" applyAlignment="1">
      <alignment/>
    </xf>
    <xf numFmtId="10" fontId="0" fillId="0" borderId="0" xfId="0" applyNumberFormat="1" applyAlignment="1">
      <alignment/>
    </xf>
    <xf numFmtId="0" fontId="0" fillId="33" borderId="3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6" xfId="0" applyFont="1" applyFill="1" applyBorder="1" applyAlignment="1">
      <alignment/>
    </xf>
    <xf numFmtId="0" fontId="24" fillId="33" borderId="24" xfId="0" applyFont="1" applyFill="1" applyBorder="1" applyAlignment="1">
      <alignment/>
    </xf>
    <xf numFmtId="0" fontId="24" fillId="33" borderId="77" xfId="0" applyFont="1" applyFill="1" applyBorder="1" applyAlignment="1">
      <alignment/>
    </xf>
    <xf numFmtId="10" fontId="0" fillId="0" borderId="0" xfId="0" applyNumberFormat="1" applyFill="1" applyAlignment="1">
      <alignment/>
    </xf>
    <xf numFmtId="0" fontId="0" fillId="40" borderId="0" xfId="0" applyFont="1" applyFill="1" applyAlignment="1">
      <alignment/>
    </xf>
    <xf numFmtId="0" fontId="0" fillId="0" borderId="10" xfId="0" applyBorder="1" applyAlignment="1">
      <alignment/>
    </xf>
    <xf numFmtId="0" fontId="0" fillId="40" borderId="0" xfId="0" applyFill="1" applyAlignment="1">
      <alignment/>
    </xf>
    <xf numFmtId="0" fontId="0" fillId="0" borderId="65" xfId="0" applyBorder="1" applyAlignment="1">
      <alignment/>
    </xf>
    <xf numFmtId="0" fontId="0" fillId="39" borderId="0" xfId="0" applyFill="1" applyAlignment="1">
      <alignment horizontal="center"/>
    </xf>
    <xf numFmtId="0" fontId="0" fillId="0" borderId="0" xfId="0" applyFont="1" applyFill="1" applyAlignment="1">
      <alignment/>
    </xf>
    <xf numFmtId="10" fontId="0" fillId="0" borderId="36" xfId="0" applyNumberFormat="1" applyBorder="1" applyAlignment="1">
      <alignment/>
    </xf>
    <xf numFmtId="0" fontId="0" fillId="39" borderId="36" xfId="0" applyFill="1" applyBorder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78" xfId="0" applyFill="1" applyBorder="1" applyAlignment="1">
      <alignment/>
    </xf>
    <xf numFmtId="0" fontId="0" fillId="0" borderId="32" xfId="0" applyFont="1" applyBorder="1" applyAlignment="1">
      <alignment/>
    </xf>
    <xf numFmtId="10" fontId="0" fillId="0" borderId="32" xfId="0" applyNumberFormat="1" applyBorder="1" applyAlignment="1">
      <alignment/>
    </xf>
    <xf numFmtId="10" fontId="0" fillId="0" borderId="0" xfId="0" applyNumberFormat="1" applyAlignment="1">
      <alignment horizontal="center"/>
    </xf>
    <xf numFmtId="0" fontId="0" fillId="0" borderId="78" xfId="0" applyBorder="1" applyAlignment="1">
      <alignment/>
    </xf>
    <xf numFmtId="0" fontId="0" fillId="0" borderId="31" xfId="0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56" xfId="0" applyNumberFormat="1" applyBorder="1" applyAlignment="1">
      <alignment/>
    </xf>
    <xf numFmtId="0" fontId="0" fillId="39" borderId="0" xfId="0" applyFill="1" applyAlignment="1">
      <alignment horizontal="right"/>
    </xf>
    <xf numFmtId="2" fontId="0" fillId="39" borderId="0" xfId="0" applyNumberFormat="1" applyFill="1" applyAlignment="1">
      <alignment/>
    </xf>
    <xf numFmtId="0" fontId="0" fillId="0" borderId="56" xfId="0" applyNumberFormat="1" applyFill="1" applyBorder="1" applyAlignment="1">
      <alignment/>
    </xf>
    <xf numFmtId="2" fontId="0" fillId="39" borderId="0" xfId="0" applyNumberForma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2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32" xfId="57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/>
    </xf>
    <xf numFmtId="49" fontId="26" fillId="0" borderId="20" xfId="0" applyNumberFormat="1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/>
      <protection/>
    </xf>
    <xf numFmtId="0" fontId="1" fillId="41" borderId="32" xfId="0" applyFont="1" applyFill="1" applyBorder="1" applyAlignment="1">
      <alignment horizontal="center"/>
    </xf>
    <xf numFmtId="0" fontId="1" fillId="41" borderId="32" xfId="0" applyNumberFormat="1" applyFont="1" applyFill="1" applyBorder="1" applyAlignment="1">
      <alignment horizontal="center"/>
    </xf>
    <xf numFmtId="10" fontId="1" fillId="41" borderId="32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wrapText="1"/>
    </xf>
    <xf numFmtId="49" fontId="26" fillId="0" borderId="13" xfId="0" applyNumberFormat="1" applyFont="1" applyFill="1" applyBorder="1" applyAlignment="1">
      <alignment horizontal="center" wrapText="1"/>
    </xf>
    <xf numFmtId="49" fontId="1" fillId="0" borderId="32" xfId="0" applyNumberFormat="1" applyFont="1" applyFill="1" applyBorder="1" applyAlignment="1">
      <alignment horizontal="center"/>
    </xf>
    <xf numFmtId="10" fontId="1" fillId="0" borderId="32" xfId="63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 wrapText="1"/>
    </xf>
    <xf numFmtId="0" fontId="27" fillId="0" borderId="34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/>
    </xf>
    <xf numFmtId="49" fontId="1" fillId="0" borderId="32" xfId="57" applyNumberFormat="1" applyFont="1" applyFill="1" applyBorder="1" applyAlignment="1">
      <alignment horizontal="center" vertical="center" wrapText="1"/>
      <protection/>
    </xf>
    <xf numFmtId="10" fontId="1" fillId="0" borderId="32" xfId="63" applyNumberFormat="1" applyFont="1" applyFill="1" applyBorder="1" applyAlignment="1">
      <alignment horizontal="center" vertical="center" wrapText="1"/>
    </xf>
    <xf numFmtId="0" fontId="1" fillId="0" borderId="0" xfId="57" applyFont="1" applyFill="1" applyAlignment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1" fontId="4" fillId="42" borderId="32" xfId="0" applyNumberFormat="1" applyFont="1" applyFill="1" applyBorder="1" applyAlignment="1">
      <alignment horizontal="center"/>
    </xf>
    <xf numFmtId="9" fontId="4" fillId="42" borderId="32" xfId="0" applyNumberFormat="1" applyFont="1" applyFill="1" applyBorder="1" applyAlignment="1">
      <alignment horizontal="center"/>
    </xf>
    <xf numFmtId="190" fontId="4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26" fillId="0" borderId="32" xfId="0" applyFont="1" applyBorder="1" applyAlignment="1">
      <alignment horizontal="center"/>
    </xf>
    <xf numFmtId="0" fontId="4" fillId="0" borderId="0" xfId="0" applyFont="1" applyFill="1" applyAlignment="1">
      <alignment/>
    </xf>
    <xf numFmtId="9" fontId="4" fillId="0" borderId="0" xfId="0" applyNumberFormat="1" applyFont="1" applyFill="1" applyAlignment="1">
      <alignment horizontal="right"/>
    </xf>
    <xf numFmtId="190" fontId="1" fillId="0" borderId="0" xfId="0" applyNumberFormat="1" applyFont="1" applyFill="1" applyAlignment="1">
      <alignment/>
    </xf>
    <xf numFmtId="0" fontId="28" fillId="0" borderId="13" xfId="0" applyFont="1" applyFill="1" applyBorder="1" applyAlignment="1">
      <alignment/>
    </xf>
    <xf numFmtId="0" fontId="28" fillId="0" borderId="34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42" borderId="32" xfId="0" applyNumberFormat="1" applyFont="1" applyFill="1" applyBorder="1" applyAlignment="1">
      <alignment horizontal="center"/>
    </xf>
    <xf numFmtId="9" fontId="1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49" fontId="27" fillId="0" borderId="13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39" borderId="32" xfId="0" applyFont="1" applyFill="1" applyBorder="1" applyAlignment="1">
      <alignment horizontal="center"/>
    </xf>
    <xf numFmtId="9" fontId="1" fillId="0" borderId="0" xfId="0" applyNumberFormat="1" applyFont="1" applyFill="1" applyAlignment="1">
      <alignment horizontal="right"/>
    </xf>
    <xf numFmtId="49" fontId="26" fillId="0" borderId="13" xfId="0" applyNumberFormat="1" applyFont="1" applyFill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90" fontId="15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0" fontId="1" fillId="0" borderId="0" xfId="63" applyNumberFormat="1" applyFont="1" applyAlignment="1">
      <alignment/>
    </xf>
    <xf numFmtId="0" fontId="1" fillId="42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1" fillId="42" borderId="2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2" fillId="0" borderId="32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40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0" fontId="1" fillId="41" borderId="31" xfId="0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1" fillId="0" borderId="36" xfId="0" applyFont="1" applyFill="1" applyBorder="1" applyAlignment="1">
      <alignment/>
    </xf>
    <xf numFmtId="0" fontId="1" fillId="41" borderId="3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41" borderId="61" xfId="0" applyFont="1" applyFill="1" applyBorder="1" applyAlignment="1">
      <alignment/>
    </xf>
    <xf numFmtId="1" fontId="1" fillId="41" borderId="32" xfId="0" applyNumberFormat="1" applyFont="1" applyFill="1" applyBorder="1" applyAlignment="1">
      <alignment/>
    </xf>
    <xf numFmtId="10" fontId="1" fillId="41" borderId="32" xfId="63" applyNumberFormat="1" applyFont="1" applyFill="1" applyBorder="1" applyAlignment="1">
      <alignment/>
    </xf>
    <xf numFmtId="10" fontId="33" fillId="41" borderId="32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1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37" borderId="32" xfId="0" applyFont="1" applyFill="1" applyBorder="1" applyAlignment="1">
      <alignment/>
    </xf>
    <xf numFmtId="10" fontId="1" fillId="37" borderId="32" xfId="63" applyNumberFormat="1" applyFont="1" applyFill="1" applyBorder="1" applyAlignment="1">
      <alignment/>
    </xf>
    <xf numFmtId="10" fontId="33" fillId="37" borderId="32" xfId="0" applyNumberFormat="1" applyFont="1" applyFill="1" applyBorder="1" applyAlignment="1">
      <alignment/>
    </xf>
    <xf numFmtId="0" fontId="35" fillId="0" borderId="0" xfId="0" applyFont="1" applyAlignment="1">
      <alignment horizontal="left"/>
    </xf>
    <xf numFmtId="0" fontId="26" fillId="0" borderId="2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190" fontId="4" fillId="0" borderId="0" xfId="0" applyNumberFormat="1" applyFont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" fontId="27" fillId="0" borderId="32" xfId="0" applyNumberFormat="1" applyFont="1" applyFill="1" applyBorder="1" applyAlignment="1">
      <alignment horizontal="center"/>
    </xf>
    <xf numFmtId="192" fontId="27" fillId="0" borderId="32" xfId="0" applyNumberFormat="1" applyFont="1" applyFill="1" applyBorder="1" applyAlignment="1">
      <alignment horizontal="center"/>
    </xf>
    <xf numFmtId="190" fontId="27" fillId="0" borderId="32" xfId="0" applyNumberFormat="1" applyFont="1" applyFill="1" applyBorder="1" applyAlignment="1">
      <alignment horizontal="center"/>
    </xf>
    <xf numFmtId="0" fontId="27" fillId="0" borderId="32" xfId="0" applyNumberFormat="1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26" fillId="0" borderId="61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 horizontal="center"/>
    </xf>
    <xf numFmtId="190" fontId="1" fillId="0" borderId="0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wrapText="1"/>
    </xf>
    <xf numFmtId="0" fontId="28" fillId="0" borderId="40" xfId="0" applyFont="1" applyFill="1" applyBorder="1" applyAlignment="1">
      <alignment horizontal="center"/>
    </xf>
    <xf numFmtId="0" fontId="28" fillId="0" borderId="61" xfId="0" applyFont="1" applyFill="1" applyBorder="1" applyAlignment="1">
      <alignment horizontal="center"/>
    </xf>
    <xf numFmtId="1" fontId="36" fillId="0" borderId="32" xfId="0" applyNumberFormat="1" applyFont="1" applyFill="1" applyBorder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36" fillId="0" borderId="61" xfId="0" applyFont="1" applyFill="1" applyBorder="1" applyAlignment="1">
      <alignment horizontal="center"/>
    </xf>
    <xf numFmtId="0" fontId="36" fillId="0" borderId="40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7" fillId="0" borderId="34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27" fillId="0" borderId="52" xfId="0" applyFont="1" applyFill="1" applyBorder="1" applyAlignment="1">
      <alignment/>
    </xf>
    <xf numFmtId="49" fontId="27" fillId="0" borderId="52" xfId="0" applyNumberFormat="1" applyFont="1" applyFill="1" applyBorder="1" applyAlignment="1">
      <alignment horizontal="center" wrapText="1"/>
    </xf>
    <xf numFmtId="0" fontId="27" fillId="0" borderId="43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1" fillId="43" borderId="0" xfId="0" applyFont="1" applyFill="1" applyAlignment="1">
      <alignment/>
    </xf>
    <xf numFmtId="0" fontId="1" fillId="43" borderId="32" xfId="0" applyFont="1" applyFill="1" applyBorder="1" applyAlignment="1">
      <alignment/>
    </xf>
    <xf numFmtId="10" fontId="4" fillId="43" borderId="32" xfId="63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37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74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42" borderId="12" xfId="0" applyFont="1" applyFill="1" applyBorder="1" applyAlignment="1">
      <alignment/>
    </xf>
    <xf numFmtId="0" fontId="1" fillId="42" borderId="36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190" fontId="4" fillId="0" borderId="0" xfId="0" applyNumberFormat="1" applyFont="1" applyBorder="1" applyAlignment="1">
      <alignment/>
    </xf>
    <xf numFmtId="10" fontId="1" fillId="0" borderId="0" xfId="63" applyNumberFormat="1" applyFont="1" applyBorder="1" applyAlignment="1">
      <alignment/>
    </xf>
    <xf numFmtId="49" fontId="30" fillId="0" borderId="0" xfId="0" applyNumberFormat="1" applyFont="1" applyFill="1" applyBorder="1" applyAlignment="1">
      <alignment horizontal="center" wrapText="1"/>
    </xf>
    <xf numFmtId="0" fontId="32" fillId="0" borderId="33" xfId="0" applyFont="1" applyFill="1" applyBorder="1" applyAlignment="1">
      <alignment/>
    </xf>
    <xf numFmtId="0" fontId="1" fillId="41" borderId="72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49" fontId="27" fillId="0" borderId="18" xfId="0" applyNumberFormat="1" applyFont="1" applyFill="1" applyBorder="1" applyAlignment="1">
      <alignment horizontal="center" wrapText="1"/>
    </xf>
    <xf numFmtId="0" fontId="27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48" xfId="0" applyFont="1" applyFill="1" applyBorder="1" applyAlignment="1">
      <alignment/>
    </xf>
    <xf numFmtId="0" fontId="28" fillId="0" borderId="48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/>
    </xf>
    <xf numFmtId="0" fontId="28" fillId="0" borderId="48" xfId="0" applyFont="1" applyFill="1" applyBorder="1" applyAlignment="1">
      <alignment wrapText="1"/>
    </xf>
    <xf numFmtId="0" fontId="28" fillId="0" borderId="3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42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44" borderId="10" xfId="0" applyFont="1" applyFill="1" applyBorder="1" applyAlignment="1">
      <alignment/>
    </xf>
    <xf numFmtId="0" fontId="1" fillId="44" borderId="3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28" fillId="0" borderId="79" xfId="0" applyFont="1" applyFill="1" applyBorder="1" applyAlignment="1">
      <alignment wrapText="1"/>
    </xf>
    <xf numFmtId="49" fontId="28" fillId="0" borderId="79" xfId="0" applyNumberFormat="1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 wrapText="1"/>
    </xf>
    <xf numFmtId="1" fontId="28" fillId="0" borderId="3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49" fontId="27" fillId="0" borderId="48" xfId="0" applyNumberFormat="1" applyFont="1" applyFill="1" applyBorder="1" applyAlignment="1">
      <alignment horizontal="center" wrapText="1"/>
    </xf>
    <xf numFmtId="0" fontId="38" fillId="0" borderId="48" xfId="0" applyFont="1" applyFill="1" applyBorder="1" applyAlignment="1">
      <alignment/>
    </xf>
    <xf numFmtId="49" fontId="38" fillId="0" borderId="48" xfId="0" applyNumberFormat="1" applyFont="1" applyFill="1" applyBorder="1" applyAlignment="1">
      <alignment horizontal="center" wrapText="1"/>
    </xf>
    <xf numFmtId="0" fontId="38" fillId="0" borderId="34" xfId="0" applyFont="1" applyFill="1" applyBorder="1" applyAlignment="1">
      <alignment horizontal="center"/>
    </xf>
    <xf numFmtId="0" fontId="38" fillId="0" borderId="32" xfId="0" applyFont="1" applyFill="1" applyBorder="1" applyAlignment="1">
      <alignment horizontal="center"/>
    </xf>
    <xf numFmtId="1" fontId="38" fillId="0" borderId="32" xfId="0" applyNumberFormat="1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/>
    </xf>
    <xf numFmtId="0" fontId="38" fillId="0" borderId="3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/>
    </xf>
    <xf numFmtId="0" fontId="38" fillId="0" borderId="77" xfId="0" applyFont="1" applyFill="1" applyBorder="1" applyAlignment="1">
      <alignment/>
    </xf>
    <xf numFmtId="49" fontId="38" fillId="0" borderId="77" xfId="0" applyNumberFormat="1" applyFont="1" applyFill="1" applyBorder="1" applyAlignment="1">
      <alignment horizontal="center" wrapText="1"/>
    </xf>
    <xf numFmtId="0" fontId="38" fillId="0" borderId="53" xfId="0" applyFont="1" applyFill="1" applyBorder="1" applyAlignment="1">
      <alignment horizontal="center"/>
    </xf>
    <xf numFmtId="0" fontId="38" fillId="0" borderId="67" xfId="0" applyFont="1" applyFill="1" applyBorder="1" applyAlignment="1">
      <alignment horizontal="center"/>
    </xf>
    <xf numFmtId="1" fontId="38" fillId="0" borderId="67" xfId="0" applyNumberFormat="1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54" xfId="0" applyFont="1" applyFill="1" applyBorder="1" applyAlignment="1">
      <alignment horizontal="center"/>
    </xf>
    <xf numFmtId="0" fontId="38" fillId="0" borderId="53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54" xfId="0" applyFont="1" applyFill="1" applyBorder="1" applyAlignment="1">
      <alignment horizontal="center" vertical="center"/>
    </xf>
    <xf numFmtId="0" fontId="1" fillId="42" borderId="31" xfId="0" applyFont="1" applyFill="1" applyBorder="1" applyAlignment="1">
      <alignment/>
    </xf>
    <xf numFmtId="0" fontId="1" fillId="42" borderId="12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 wrapText="1"/>
    </xf>
    <xf numFmtId="0" fontId="32" fillId="44" borderId="32" xfId="0" applyFont="1" applyFill="1" applyBorder="1" applyAlignment="1">
      <alignment horizontal="right"/>
    </xf>
    <xf numFmtId="1" fontId="26" fillId="0" borderId="0" xfId="0" applyNumberFormat="1" applyFont="1" applyFill="1" applyBorder="1" applyAlignment="1">
      <alignment horizontal="center"/>
    </xf>
    <xf numFmtId="0" fontId="1" fillId="41" borderId="61" xfId="0" applyFont="1" applyFill="1" applyBorder="1" applyAlignment="1">
      <alignment horizontal="right"/>
    </xf>
    <xf numFmtId="0" fontId="4" fillId="44" borderId="34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 wrapText="1"/>
    </xf>
    <xf numFmtId="0" fontId="28" fillId="0" borderId="79" xfId="0" applyFont="1" applyFill="1" applyBorder="1" applyAlignment="1">
      <alignment/>
    </xf>
    <xf numFmtId="0" fontId="28" fillId="0" borderId="5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28" fillId="0" borderId="70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left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63" xfId="0" applyFont="1" applyFill="1" applyBorder="1" applyAlignment="1">
      <alignment/>
    </xf>
    <xf numFmtId="0" fontId="28" fillId="0" borderId="39" xfId="0" applyFont="1" applyFill="1" applyBorder="1" applyAlignment="1">
      <alignment/>
    </xf>
    <xf numFmtId="0" fontId="28" fillId="0" borderId="39" xfId="0" applyFont="1" applyFill="1" applyBorder="1" applyAlignment="1">
      <alignment horizontal="center" vertical="center"/>
    </xf>
    <xf numFmtId="0" fontId="1" fillId="42" borderId="65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4" fillId="44" borderId="32" xfId="0" applyFont="1" applyFill="1" applyBorder="1" applyAlignment="1">
      <alignment/>
    </xf>
    <xf numFmtId="0" fontId="4" fillId="44" borderId="33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49" fontId="28" fillId="0" borderId="79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wrapText="1"/>
    </xf>
    <xf numFmtId="49" fontId="28" fillId="0" borderId="48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/>
    </xf>
    <xf numFmtId="49" fontId="28" fillId="0" borderId="48" xfId="0" applyNumberFormat="1" applyFont="1" applyFill="1" applyBorder="1" applyAlignment="1">
      <alignment horizontal="center"/>
    </xf>
    <xf numFmtId="0" fontId="28" fillId="0" borderId="6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/>
    </xf>
    <xf numFmtId="49" fontId="28" fillId="0" borderId="80" xfId="0" applyNumberFormat="1" applyFont="1" applyFill="1" applyBorder="1" applyAlignment="1">
      <alignment horizontal="center"/>
    </xf>
    <xf numFmtId="0" fontId="28" fillId="0" borderId="67" xfId="0" applyFont="1" applyFill="1" applyBorder="1" applyAlignment="1">
      <alignment vertical="center"/>
    </xf>
    <xf numFmtId="0" fontId="1" fillId="42" borderId="10" xfId="0" applyFont="1" applyFill="1" applyBorder="1" applyAlignment="1">
      <alignment vertical="center"/>
    </xf>
    <xf numFmtId="0" fontId="1" fillId="0" borderId="7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203" fontId="1" fillId="41" borderId="32" xfId="63" applyNumberFormat="1" applyFont="1" applyFill="1" applyBorder="1" applyAlignment="1">
      <alignment/>
    </xf>
    <xf numFmtId="9" fontId="1" fillId="41" borderId="32" xfId="63" applyFont="1" applyFill="1" applyBorder="1" applyAlignment="1">
      <alignment/>
    </xf>
    <xf numFmtId="0" fontId="39" fillId="0" borderId="12" xfId="59" applyFont="1" applyFill="1" applyBorder="1" applyAlignment="1">
      <alignment horizontal="center" vertical="center" wrapText="1"/>
      <protection/>
    </xf>
    <xf numFmtId="0" fontId="39" fillId="0" borderId="18" xfId="59" applyFont="1" applyFill="1" applyBorder="1" applyAlignment="1">
      <alignment horizontal="left" vertical="center" wrapText="1"/>
      <protection/>
    </xf>
    <xf numFmtId="0" fontId="39" fillId="0" borderId="18" xfId="59" applyFont="1" applyFill="1" applyBorder="1" applyAlignment="1">
      <alignment horizontal="center" vertical="center" wrapText="1"/>
      <protection/>
    </xf>
    <xf numFmtId="0" fontId="39" fillId="0" borderId="22" xfId="59" applyFont="1" applyFill="1" applyBorder="1" applyAlignment="1">
      <alignment horizontal="center" vertical="center" wrapText="1"/>
      <protection/>
    </xf>
    <xf numFmtId="0" fontId="39" fillId="0" borderId="10" xfId="59" applyFont="1" applyFill="1" applyBorder="1" applyAlignment="1">
      <alignment horizontal="center" vertical="center" wrapText="1"/>
      <protection/>
    </xf>
    <xf numFmtId="0" fontId="39" fillId="0" borderId="64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 vertical="center" wrapText="1"/>
      <protection/>
    </xf>
    <xf numFmtId="0" fontId="1" fillId="0" borderId="0" xfId="59" applyFont="1" applyFill="1" applyBorder="1" applyAlignment="1">
      <alignment horizontal="center" vertical="center" wrapText="1"/>
      <protection/>
    </xf>
    <xf numFmtId="0" fontId="39" fillId="0" borderId="40" xfId="59" applyFont="1" applyFill="1" applyBorder="1" applyAlignment="1">
      <alignment horizontal="center" vertical="center" wrapText="1"/>
      <protection/>
    </xf>
    <xf numFmtId="0" fontId="39" fillId="0" borderId="13" xfId="59" applyFont="1" applyFill="1" applyBorder="1" applyAlignment="1">
      <alignment horizontal="left" vertical="center" wrapText="1"/>
      <protection/>
    </xf>
    <xf numFmtId="0" fontId="39" fillId="0" borderId="13" xfId="59" applyFont="1" applyFill="1" applyBorder="1" applyAlignment="1">
      <alignment horizontal="center" vertical="center" wrapText="1"/>
      <protection/>
    </xf>
    <xf numFmtId="0" fontId="39" fillId="0" borderId="34" xfId="59" applyFont="1" applyFill="1" applyBorder="1" applyAlignment="1">
      <alignment horizontal="center" vertical="center" wrapText="1"/>
      <protection/>
    </xf>
    <xf numFmtId="0" fontId="39" fillId="0" borderId="32" xfId="59" applyFont="1" applyFill="1" applyBorder="1" applyAlignment="1">
      <alignment horizontal="center" vertical="center" wrapText="1"/>
      <protection/>
    </xf>
    <xf numFmtId="0" fontId="39" fillId="0" borderId="4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/>
    </xf>
    <xf numFmtId="49" fontId="39" fillId="0" borderId="13" xfId="0" applyNumberFormat="1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2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39" fillId="0" borderId="40" xfId="0" applyFont="1" applyBorder="1" applyAlignment="1">
      <alignment horizontal="center"/>
    </xf>
    <xf numFmtId="0" fontId="39" fillId="0" borderId="34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41" fillId="0" borderId="40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49" fontId="41" fillId="0" borderId="13" xfId="0" applyNumberFormat="1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2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52" xfId="0" applyFont="1" applyBorder="1" applyAlignment="1">
      <alignment/>
    </xf>
    <xf numFmtId="49" fontId="41" fillId="0" borderId="52" xfId="0" applyNumberFormat="1" applyFont="1" applyBorder="1" applyAlignment="1">
      <alignment horizontal="center"/>
    </xf>
    <xf numFmtId="0" fontId="41" fillId="0" borderId="43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59" applyFont="1" applyFill="1" applyBorder="1" applyAlignment="1">
      <alignment horizontal="left" vertical="center" wrapText="1"/>
      <protection/>
    </xf>
    <xf numFmtId="0" fontId="25" fillId="0" borderId="0" xfId="0" applyFont="1" applyFill="1" applyBorder="1" applyAlignment="1">
      <alignment/>
    </xf>
    <xf numFmtId="49" fontId="1" fillId="41" borderId="32" xfId="0" applyNumberFormat="1" applyFont="1" applyFill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40" xfId="0" applyFont="1" applyFill="1" applyBorder="1" applyAlignment="1">
      <alignment/>
    </xf>
    <xf numFmtId="0" fontId="43" fillId="0" borderId="40" xfId="0" applyFont="1" applyBorder="1" applyAlignment="1">
      <alignment horizontal="center"/>
    </xf>
    <xf numFmtId="0" fontId="43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32" xfId="0" applyFont="1" applyFill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13" xfId="59" applyFont="1" applyFill="1" applyBorder="1">
      <alignment/>
      <protection/>
    </xf>
    <xf numFmtId="0" fontId="43" fillId="0" borderId="34" xfId="59" applyFont="1" applyFill="1" applyBorder="1" applyAlignment="1">
      <alignment horizontal="center"/>
      <protection/>
    </xf>
    <xf numFmtId="0" fontId="43" fillId="0" borderId="32" xfId="59" applyFont="1" applyFill="1" applyBorder="1" applyAlignment="1">
      <alignment horizontal="center"/>
      <protection/>
    </xf>
    <xf numFmtId="0" fontId="43" fillId="0" borderId="46" xfId="59" applyFont="1" applyFill="1" applyBorder="1" applyAlignment="1">
      <alignment horizontal="center"/>
      <protection/>
    </xf>
    <xf numFmtId="0" fontId="43" fillId="0" borderId="0" xfId="59" applyFont="1" applyFill="1" applyBorder="1" applyAlignment="1">
      <alignment horizontal="center"/>
      <protection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52" xfId="59" applyFont="1" applyFill="1" applyBorder="1">
      <alignment/>
      <protection/>
    </xf>
    <xf numFmtId="0" fontId="43" fillId="0" borderId="52" xfId="0" applyFont="1" applyFill="1" applyBorder="1" applyAlignment="1">
      <alignment horizontal="center"/>
    </xf>
    <xf numFmtId="0" fontId="43" fillId="0" borderId="43" xfId="59" applyFont="1" applyFill="1" applyBorder="1" applyAlignment="1">
      <alignment horizontal="center"/>
      <protection/>
    </xf>
    <xf numFmtId="0" fontId="43" fillId="0" borderId="19" xfId="59" applyFont="1" applyFill="1" applyBorder="1" applyAlignment="1">
      <alignment horizontal="center"/>
      <protection/>
    </xf>
    <xf numFmtId="0" fontId="43" fillId="0" borderId="19" xfId="0" applyFont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 wrapText="1"/>
    </xf>
    <xf numFmtId="0" fontId="43" fillId="0" borderId="34" xfId="0" applyFont="1" applyFill="1" applyBorder="1" applyAlignment="1">
      <alignment/>
    </xf>
    <xf numFmtId="0" fontId="43" fillId="0" borderId="32" xfId="0" applyFont="1" applyFill="1" applyBorder="1" applyAlignment="1">
      <alignment/>
    </xf>
    <xf numFmtId="0" fontId="43" fillId="0" borderId="61" xfId="0" applyFont="1" applyFill="1" applyBorder="1" applyAlignment="1">
      <alignment horizontal="center"/>
    </xf>
    <xf numFmtId="0" fontId="43" fillId="0" borderId="38" xfId="0" applyFont="1" applyFill="1" applyBorder="1" applyAlignment="1">
      <alignment horizontal="center"/>
    </xf>
    <xf numFmtId="0" fontId="43" fillId="0" borderId="81" xfId="0" applyFont="1" applyFill="1" applyBorder="1" applyAlignment="1">
      <alignment/>
    </xf>
    <xf numFmtId="49" fontId="43" fillId="0" borderId="51" xfId="0" applyNumberFormat="1" applyFont="1" applyFill="1" applyBorder="1" applyAlignment="1">
      <alignment horizontal="center" wrapText="1"/>
    </xf>
    <xf numFmtId="0" fontId="43" fillId="0" borderId="78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43" fillId="0" borderId="62" xfId="0" applyFont="1" applyFill="1" applyBorder="1" applyAlignment="1">
      <alignment horizontal="center"/>
    </xf>
    <xf numFmtId="0" fontId="1" fillId="0" borderId="80" xfId="0" applyFont="1" applyFill="1" applyBorder="1" applyAlignment="1">
      <alignment/>
    </xf>
    <xf numFmtId="0" fontId="1" fillId="0" borderId="5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1" fillId="0" borderId="66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0" borderId="84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83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207" fontId="26" fillId="0" borderId="32" xfId="0" applyNumberFormat="1" applyFont="1" applyFill="1" applyBorder="1" applyAlignment="1">
      <alignment horizontal="center"/>
    </xf>
    <xf numFmtId="207" fontId="26" fillId="0" borderId="32" xfId="57" applyNumberFormat="1" applyFont="1" applyFill="1" applyBorder="1" applyAlignment="1">
      <alignment horizontal="center"/>
      <protection/>
    </xf>
    <xf numFmtId="207" fontId="27" fillId="0" borderId="32" xfId="0" applyNumberFormat="1" applyFont="1" applyFill="1" applyBorder="1" applyAlignment="1">
      <alignment horizontal="center"/>
    </xf>
    <xf numFmtId="207" fontId="27" fillId="0" borderId="32" xfId="57" applyNumberFormat="1" applyFont="1" applyFill="1" applyBorder="1" applyAlignment="1">
      <alignment horizontal="center"/>
      <protection/>
    </xf>
    <xf numFmtId="207" fontId="43" fillId="0" borderId="32" xfId="0" applyNumberFormat="1" applyFont="1" applyFill="1" applyBorder="1" applyAlignment="1">
      <alignment horizontal="center"/>
    </xf>
    <xf numFmtId="207" fontId="43" fillId="0" borderId="32" xfId="57" applyNumberFormat="1" applyFont="1" applyFill="1" applyBorder="1" applyAlignment="1">
      <alignment horizontal="center"/>
      <protection/>
    </xf>
    <xf numFmtId="207" fontId="1" fillId="0" borderId="32" xfId="0" applyNumberFormat="1" applyFont="1" applyFill="1" applyBorder="1" applyAlignment="1">
      <alignment horizontal="center"/>
    </xf>
    <xf numFmtId="207" fontId="1" fillId="0" borderId="32" xfId="57" applyNumberFormat="1" applyFont="1" applyFill="1" applyBorder="1" applyAlignment="1">
      <alignment horizontal="center"/>
      <protection/>
    </xf>
    <xf numFmtId="207" fontId="31" fillId="0" borderId="32" xfId="0" applyNumberFormat="1" applyFont="1" applyFill="1" applyBorder="1" applyAlignment="1">
      <alignment horizontal="center"/>
    </xf>
    <xf numFmtId="207" fontId="1" fillId="0" borderId="0" xfId="0" applyNumberFormat="1" applyFont="1" applyFill="1" applyAlignment="1">
      <alignment/>
    </xf>
    <xf numFmtId="207" fontId="1" fillId="0" borderId="32" xfId="57" applyNumberFormat="1" applyFont="1" applyFill="1" applyBorder="1" applyAlignment="1">
      <alignment horizontal="center" vertical="center"/>
      <protection/>
    </xf>
    <xf numFmtId="207" fontId="1" fillId="0" borderId="32" xfId="57" applyNumberFormat="1" applyFont="1" applyFill="1" applyBorder="1" applyAlignment="1">
      <alignment horizontal="right" vertical="center"/>
      <protection/>
    </xf>
    <xf numFmtId="207" fontId="31" fillId="44" borderId="32" xfId="0" applyNumberFormat="1" applyFont="1" applyFill="1" applyBorder="1" applyAlignment="1">
      <alignment horizontal="center"/>
    </xf>
    <xf numFmtId="207" fontId="1" fillId="0" borderId="0" xfId="0" applyNumberFormat="1" applyFont="1" applyFill="1" applyBorder="1" applyAlignment="1">
      <alignment horizontal="center"/>
    </xf>
    <xf numFmtId="207" fontId="28" fillId="0" borderId="0" xfId="0" applyNumberFormat="1" applyFont="1" applyFill="1" applyBorder="1" applyAlignment="1">
      <alignment horizontal="center"/>
    </xf>
    <xf numFmtId="207" fontId="1" fillId="0" borderId="0" xfId="0" applyNumberFormat="1" applyFont="1" applyFill="1" applyBorder="1" applyAlignment="1">
      <alignment/>
    </xf>
    <xf numFmtId="207" fontId="31" fillId="0" borderId="0" xfId="0" applyNumberFormat="1" applyFont="1" applyFill="1" applyBorder="1" applyAlignment="1">
      <alignment horizontal="center"/>
    </xf>
    <xf numFmtId="207" fontId="1" fillId="0" borderId="0" xfId="57" applyNumberFormat="1" applyFont="1" applyFill="1" applyBorder="1" applyAlignment="1">
      <alignment horizontal="center"/>
      <protection/>
    </xf>
    <xf numFmtId="207" fontId="4" fillId="0" borderId="0" xfId="0" applyNumberFormat="1" applyFont="1" applyFill="1" applyBorder="1" applyAlignment="1">
      <alignment horizontal="center"/>
    </xf>
    <xf numFmtId="207" fontId="1" fillId="0" borderId="32" xfId="0" applyNumberFormat="1" applyFont="1" applyFill="1" applyBorder="1" applyAlignment="1">
      <alignment/>
    </xf>
    <xf numFmtId="207" fontId="31" fillId="44" borderId="32" xfId="0" applyNumberFormat="1" applyFont="1" applyFill="1" applyBorder="1" applyAlignment="1">
      <alignment/>
    </xf>
    <xf numFmtId="207" fontId="4" fillId="0" borderId="32" xfId="0" applyNumberFormat="1" applyFont="1" applyFill="1" applyBorder="1" applyAlignment="1">
      <alignment horizontal="center"/>
    </xf>
    <xf numFmtId="207" fontId="1" fillId="39" borderId="0" xfId="0" applyNumberFormat="1" applyFont="1" applyFill="1" applyAlignment="1">
      <alignment/>
    </xf>
    <xf numFmtId="207" fontId="1" fillId="39" borderId="0" xfId="0" applyNumberFormat="1" applyFont="1" applyFill="1" applyBorder="1" applyAlignment="1">
      <alignment horizontal="center"/>
    </xf>
    <xf numFmtId="207" fontId="4" fillId="39" borderId="0" xfId="0" applyNumberFormat="1" applyFont="1" applyFill="1" applyBorder="1" applyAlignment="1">
      <alignment horizontal="center"/>
    </xf>
    <xf numFmtId="207" fontId="31" fillId="0" borderId="32" xfId="57" applyNumberFormat="1" applyFont="1" applyFill="1" applyBorder="1" applyAlignment="1">
      <alignment horizontal="center"/>
      <protection/>
    </xf>
    <xf numFmtId="2" fontId="1" fillId="0" borderId="49" xfId="0" applyNumberFormat="1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1" fillId="0" borderId="32" xfId="58" applyFont="1" applyBorder="1">
      <alignment/>
      <protection/>
    </xf>
    <xf numFmtId="0" fontId="4" fillId="0" borderId="32" xfId="58" applyFont="1" applyBorder="1" applyAlignment="1">
      <alignment horizontal="center"/>
      <protection/>
    </xf>
    <xf numFmtId="0" fontId="4" fillId="0" borderId="32" xfId="58" applyFont="1" applyBorder="1" applyAlignment="1">
      <alignment horizontal="center" wrapText="1"/>
      <protection/>
    </xf>
    <xf numFmtId="0" fontId="0" fillId="0" borderId="74" xfId="58" applyBorder="1">
      <alignment/>
      <protection/>
    </xf>
    <xf numFmtId="0" fontId="0" fillId="0" borderId="32" xfId="58" applyBorder="1" applyAlignment="1">
      <alignment horizontal="center" vertical="center"/>
      <protection/>
    </xf>
    <xf numFmtId="0" fontId="4" fillId="0" borderId="32" xfId="58" applyFont="1" applyBorder="1" applyAlignment="1">
      <alignment horizontal="center" vertical="center" wrapText="1"/>
      <protection/>
    </xf>
    <xf numFmtId="0" fontId="44" fillId="0" borderId="32" xfId="0" applyFont="1" applyBorder="1" applyAlignment="1">
      <alignment horizontal="center" vertical="center" wrapText="1"/>
    </xf>
    <xf numFmtId="0" fontId="45" fillId="0" borderId="32" xfId="58" applyFont="1" applyBorder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74" xfId="58" applyBorder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1" fillId="0" borderId="0" xfId="58" applyFont="1">
      <alignment/>
      <protection/>
    </xf>
    <xf numFmtId="0" fontId="4" fillId="0" borderId="0" xfId="58" applyFo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" fillId="45" borderId="32" xfId="58" applyFont="1" applyFill="1" applyBorder="1">
      <alignment/>
      <protection/>
    </xf>
    <xf numFmtId="0" fontId="4" fillId="45" borderId="32" xfId="58" applyFont="1" applyFill="1" applyBorder="1">
      <alignment/>
      <protection/>
    </xf>
    <xf numFmtId="0" fontId="4" fillId="45" borderId="32" xfId="58" applyFont="1" applyFill="1" applyBorder="1" applyAlignment="1">
      <alignment horizontal="center"/>
      <protection/>
    </xf>
    <xf numFmtId="0" fontId="4" fillId="45" borderId="32" xfId="58" applyFont="1" applyFill="1" applyBorder="1" applyAlignment="1">
      <alignment horizontal="center" wrapText="1"/>
      <protection/>
    </xf>
    <xf numFmtId="0" fontId="1" fillId="45" borderId="57" xfId="58" applyFont="1" applyFill="1" applyBorder="1">
      <alignment/>
      <protection/>
    </xf>
    <xf numFmtId="0" fontId="1" fillId="0" borderId="32" xfId="58" applyFont="1" applyBorder="1">
      <alignment/>
      <protection/>
    </xf>
    <xf numFmtId="0" fontId="1" fillId="0" borderId="32" xfId="0" applyFont="1" applyBorder="1" applyAlignment="1">
      <alignment/>
    </xf>
    <xf numFmtId="0" fontId="1" fillId="0" borderId="32" xfId="58" applyFont="1" applyBorder="1" applyAlignment="1">
      <alignment horizontal="center" vertical="center"/>
      <protection/>
    </xf>
    <xf numFmtId="0" fontId="1" fillId="0" borderId="32" xfId="58" applyFont="1" applyBorder="1" applyAlignment="1">
      <alignment horizontal="center"/>
      <protection/>
    </xf>
    <xf numFmtId="0" fontId="1" fillId="0" borderId="32" xfId="59" applyFont="1" applyBorder="1">
      <alignment/>
      <protection/>
    </xf>
    <xf numFmtId="0" fontId="46" fillId="0" borderId="0" xfId="58" applyFont="1">
      <alignment/>
      <protection/>
    </xf>
    <xf numFmtId="0" fontId="1" fillId="0" borderId="0" xfId="58" applyFont="1" applyAlignment="1">
      <alignment horizontal="center" vertical="center"/>
      <protection/>
    </xf>
    <xf numFmtId="0" fontId="1" fillId="0" borderId="0" xfId="58" applyFont="1" applyAlignment="1">
      <alignment horizontal="center"/>
      <protection/>
    </xf>
    <xf numFmtId="0" fontId="1" fillId="45" borderId="0" xfId="58" applyFont="1" applyFill="1" applyAlignment="1">
      <alignment horizontal="center"/>
      <protection/>
    </xf>
    <xf numFmtId="0" fontId="1" fillId="0" borderId="32" xfId="58" applyFont="1" applyBorder="1" applyAlignment="1">
      <alignment horizontal="center" vertical="center"/>
      <protection/>
    </xf>
    <xf numFmtId="0" fontId="1" fillId="0" borderId="32" xfId="58" applyFont="1" applyBorder="1" applyAlignment="1">
      <alignment horizontal="center"/>
      <protection/>
    </xf>
    <xf numFmtId="0" fontId="1" fillId="45" borderId="0" xfId="58" applyFont="1" applyFill="1">
      <alignment/>
      <protection/>
    </xf>
    <xf numFmtId="0" fontId="1" fillId="0" borderId="32" xfId="58" applyFont="1" applyBorder="1" applyAlignment="1">
      <alignment vertical="center"/>
      <protection/>
    </xf>
    <xf numFmtId="0" fontId="1" fillId="0" borderId="32" xfId="0" applyFont="1" applyBorder="1" applyAlignment="1">
      <alignment vertical="center"/>
    </xf>
    <xf numFmtId="0" fontId="1" fillId="0" borderId="0" xfId="60" applyFont="1" applyAlignment="1">
      <alignment wrapText="1"/>
      <protection/>
    </xf>
    <xf numFmtId="0" fontId="26" fillId="0" borderId="0" xfId="58" applyFont="1" applyAlignment="1">
      <alignment horizontal="center" vertical="center"/>
      <protection/>
    </xf>
    <xf numFmtId="0" fontId="4" fillId="0" borderId="0" xfId="58" applyFont="1" applyAlignment="1">
      <alignment horizontal="center"/>
      <protection/>
    </xf>
    <xf numFmtId="0" fontId="1" fillId="45" borderId="32" xfId="58" applyFont="1" applyFill="1" applyBorder="1">
      <alignment/>
      <protection/>
    </xf>
    <xf numFmtId="0" fontId="1" fillId="45" borderId="0" xfId="58" applyFont="1" applyFill="1">
      <alignment/>
      <protection/>
    </xf>
    <xf numFmtId="0" fontId="2" fillId="0" borderId="32" xfId="0" applyFont="1" applyBorder="1" applyAlignment="1">
      <alignment wrapText="1"/>
    </xf>
    <xf numFmtId="10" fontId="4" fillId="0" borderId="0" xfId="58" applyNumberFormat="1" applyFont="1" applyAlignment="1">
      <alignment horizontal="center"/>
      <protection/>
    </xf>
    <xf numFmtId="0" fontId="1" fillId="46" borderId="32" xfId="58" applyFont="1" applyFill="1" applyBorder="1">
      <alignment/>
      <protection/>
    </xf>
    <xf numFmtId="0" fontId="83" fillId="46" borderId="32" xfId="58" applyFont="1" applyFill="1" applyBorder="1">
      <alignment/>
      <protection/>
    </xf>
    <xf numFmtId="0" fontId="4" fillId="46" borderId="32" xfId="58" applyFont="1" applyFill="1" applyBorder="1" applyAlignment="1">
      <alignment horizontal="center"/>
      <protection/>
    </xf>
    <xf numFmtId="0" fontId="4" fillId="46" borderId="32" xfId="58" applyFont="1" applyFill="1" applyBorder="1" applyAlignment="1">
      <alignment horizontal="center" wrapText="1"/>
      <protection/>
    </xf>
    <xf numFmtId="0" fontId="1" fillId="0" borderId="32" xfId="0" applyFont="1" applyBorder="1" applyAlignment="1">
      <alignment/>
    </xf>
    <xf numFmtId="0" fontId="84" fillId="0" borderId="32" xfId="58" applyFont="1" applyBorder="1" applyAlignment="1">
      <alignment horizontal="center"/>
      <protection/>
    </xf>
    <xf numFmtId="0" fontId="85" fillId="0" borderId="0" xfId="58" applyFont="1">
      <alignment/>
      <protection/>
    </xf>
    <xf numFmtId="0" fontId="84" fillId="0" borderId="32" xfId="58" applyFont="1" applyBorder="1" applyAlignment="1">
      <alignment horizontal="center" vertical="center"/>
      <protection/>
    </xf>
    <xf numFmtId="0" fontId="84" fillId="0" borderId="32" xfId="58" applyFont="1" applyBorder="1">
      <alignment/>
      <protection/>
    </xf>
    <xf numFmtId="0" fontId="84" fillId="0" borderId="32" xfId="58" applyFont="1" applyBorder="1" applyAlignment="1">
      <alignment vertical="center"/>
      <protection/>
    </xf>
    <xf numFmtId="0" fontId="84" fillId="0" borderId="0" xfId="58" applyFont="1">
      <alignment/>
      <protection/>
    </xf>
    <xf numFmtId="0" fontId="84" fillId="0" borderId="0" xfId="58" applyFont="1" applyAlignment="1">
      <alignment vertical="center"/>
      <protection/>
    </xf>
    <xf numFmtId="0" fontId="86" fillId="46" borderId="32" xfId="58" applyFont="1" applyFill="1" applyBorder="1">
      <alignment/>
      <protection/>
    </xf>
    <xf numFmtId="0" fontId="87" fillId="46" borderId="32" xfId="58" applyFont="1" applyFill="1" applyBorder="1">
      <alignment/>
      <protection/>
    </xf>
    <xf numFmtId="0" fontId="86" fillId="0" borderId="32" xfId="58" applyFont="1" applyBorder="1">
      <alignment/>
      <protection/>
    </xf>
    <xf numFmtId="0" fontId="86" fillId="0" borderId="32" xfId="0" applyFont="1" applyBorder="1" applyAlignment="1">
      <alignment horizontal="left" vertical="center" wrapText="1"/>
    </xf>
    <xf numFmtId="0" fontId="86" fillId="0" borderId="32" xfId="58" applyFont="1" applyBorder="1" applyAlignment="1">
      <alignment horizontal="center"/>
      <protection/>
    </xf>
    <xf numFmtId="0" fontId="86" fillId="0" borderId="32" xfId="58" applyFont="1" applyBorder="1" applyAlignment="1">
      <alignment horizontal="center" vertical="center"/>
      <protection/>
    </xf>
    <xf numFmtId="0" fontId="86" fillId="0" borderId="32" xfId="58" applyFont="1" applyBorder="1" applyAlignment="1">
      <alignment vertical="center"/>
      <protection/>
    </xf>
    <xf numFmtId="0" fontId="1" fillId="46" borderId="32" xfId="58" applyFont="1" applyFill="1" applyBorder="1">
      <alignment/>
      <protection/>
    </xf>
    <xf numFmtId="0" fontId="84" fillId="0" borderId="32" xfId="0" applyFont="1" applyBorder="1" applyAlignment="1">
      <alignment horizontal="center" vertical="center" wrapText="1"/>
    </xf>
    <xf numFmtId="0" fontId="84" fillId="0" borderId="0" xfId="58" applyFont="1" applyAlignment="1">
      <alignment horizontal="center"/>
      <protection/>
    </xf>
    <xf numFmtId="0" fontId="83" fillId="0" borderId="32" xfId="58" applyFont="1" applyBorder="1">
      <alignment/>
      <protection/>
    </xf>
    <xf numFmtId="0" fontId="86" fillId="0" borderId="32" xfId="0" applyFont="1" applyBorder="1" applyAlignment="1">
      <alignment wrapText="1"/>
    </xf>
    <xf numFmtId="0" fontId="86" fillId="0" borderId="32" xfId="0" applyFont="1" applyBorder="1" applyAlignment="1">
      <alignment/>
    </xf>
    <xf numFmtId="0" fontId="83" fillId="0" borderId="0" xfId="58" applyFont="1">
      <alignment/>
      <protection/>
    </xf>
    <xf numFmtId="0" fontId="83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14" fontId="0" fillId="0" borderId="0" xfId="58" applyNumberFormat="1">
      <alignment/>
      <protection/>
    </xf>
    <xf numFmtId="0" fontId="44" fillId="0" borderId="13" xfId="0" applyFont="1" applyFill="1" applyBorder="1" applyAlignment="1">
      <alignment/>
    </xf>
    <xf numFmtId="0" fontId="44" fillId="0" borderId="18" xfId="0" applyFont="1" applyFill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0" fontId="1" fillId="0" borderId="61" xfId="58" applyFont="1" applyBorder="1">
      <alignment/>
      <protection/>
    </xf>
    <xf numFmtId="0" fontId="1" fillId="0" borderId="34" xfId="58" applyFont="1" applyBorder="1" applyAlignment="1">
      <alignment horizontal="center" vertical="center"/>
      <protection/>
    </xf>
    <xf numFmtId="0" fontId="4" fillId="45" borderId="37" xfId="58" applyFont="1" applyFill="1" applyBorder="1">
      <alignment/>
      <protection/>
    </xf>
    <xf numFmtId="0" fontId="1" fillId="0" borderId="61" xfId="58" applyFont="1" applyBorder="1">
      <alignment/>
      <protection/>
    </xf>
    <xf numFmtId="0" fontId="1" fillId="0" borderId="34" xfId="58" applyFont="1" applyBorder="1" applyAlignment="1">
      <alignment horizontal="center" vertical="center"/>
      <protection/>
    </xf>
    <xf numFmtId="0" fontId="44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1" fillId="0" borderId="34" xfId="58" applyFont="1" applyBorder="1">
      <alignment/>
      <protection/>
    </xf>
    <xf numFmtId="0" fontId="2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27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7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66" xfId="0" applyNumberFormat="1" applyFont="1" applyBorder="1" applyAlignment="1">
      <alignment horizontal="center" vertical="center"/>
    </xf>
    <xf numFmtId="1" fontId="1" fillId="0" borderId="6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" fontId="2" fillId="0" borderId="67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10" fontId="0" fillId="0" borderId="45" xfId="0" applyNumberFormat="1" applyFont="1" applyBorder="1" applyAlignment="1">
      <alignment horizontal="center" vertical="center" wrapText="1"/>
    </xf>
    <xf numFmtId="10" fontId="0" fillId="0" borderId="18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5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2" fontId="0" fillId="0" borderId="45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8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8" fillId="0" borderId="7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/>
    </xf>
    <xf numFmtId="0" fontId="28" fillId="0" borderId="7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74" xfId="57" applyFont="1" applyFill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28" fillId="0" borderId="11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1" fillId="43" borderId="61" xfId="0" applyFont="1" applyFill="1" applyBorder="1" applyAlignment="1">
      <alignment horizontal="left"/>
    </xf>
    <xf numFmtId="0" fontId="1" fillId="43" borderId="70" xfId="0" applyFont="1" applyFill="1" applyBorder="1" applyAlignment="1">
      <alignment horizontal="left"/>
    </xf>
    <xf numFmtId="0" fontId="1" fillId="43" borderId="34" xfId="0" applyFont="1" applyFill="1" applyBorder="1" applyAlignment="1">
      <alignment horizontal="left"/>
    </xf>
    <xf numFmtId="0" fontId="1" fillId="0" borderId="68" xfId="0" applyFont="1" applyFill="1" applyBorder="1" applyAlignment="1">
      <alignment horizontal="center" vertical="center" wrapText="1"/>
    </xf>
    <xf numFmtId="207" fontId="1" fillId="0" borderId="32" xfId="57" applyNumberFormat="1" applyFont="1" applyFill="1" applyBorder="1" applyAlignment="1">
      <alignment horizontal="center" vertical="center"/>
      <protection/>
    </xf>
    <xf numFmtId="0" fontId="1" fillId="42" borderId="3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1" fillId="41" borderId="61" xfId="0" applyFont="1" applyFill="1" applyBorder="1" applyAlignment="1">
      <alignment horizontal="left"/>
    </xf>
    <xf numFmtId="0" fontId="1" fillId="41" borderId="70" xfId="0" applyFont="1" applyFill="1" applyBorder="1" applyAlignment="1">
      <alignment horizontal="left"/>
    </xf>
    <xf numFmtId="0" fontId="1" fillId="41" borderId="3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reditare%202017%20IM%2016-17.11\USMV_15_17.11.2017_final\IM_USV_0_Pl_Inv_2018_2022_L_Inginerie%20Mecanica_propunere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reditare%202017%20IM%2016-17.11\USMV_15_17.11.2017_final\Plan%20invatamant%20Inginerie%20Mecanica_IF%20cu%20competente%20transvers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l I"/>
      <sheetName val="Anul II"/>
      <sheetName val="Anul III"/>
      <sheetName val="Anul IV"/>
      <sheetName val="Statistica"/>
    </sheetNames>
    <sheetDataSet>
      <sheetData sheetId="0">
        <row r="3">
          <cell r="E3">
            <v>9</v>
          </cell>
          <cell r="K3">
            <v>8</v>
          </cell>
        </row>
        <row r="23">
          <cell r="S23">
            <v>0</v>
          </cell>
        </row>
        <row r="24">
          <cell r="J24">
            <v>30</v>
          </cell>
          <cell r="P24">
            <v>30</v>
          </cell>
        </row>
        <row r="25">
          <cell r="R25">
            <v>772</v>
          </cell>
          <cell r="S25">
            <v>728</v>
          </cell>
        </row>
        <row r="39">
          <cell r="J39">
            <v>0</v>
          </cell>
          <cell r="P39">
            <v>0</v>
          </cell>
        </row>
        <row r="40">
          <cell r="R40">
            <v>0</v>
          </cell>
          <cell r="S40">
            <v>0</v>
          </cell>
          <cell r="AF40">
            <v>36</v>
          </cell>
          <cell r="AG40">
            <v>14</v>
          </cell>
          <cell r="AH40">
            <v>0</v>
          </cell>
          <cell r="AI40">
            <v>10</v>
          </cell>
          <cell r="AL40">
            <v>0</v>
          </cell>
          <cell r="AM40">
            <v>0</v>
          </cell>
        </row>
        <row r="43">
          <cell r="E43">
            <v>13</v>
          </cell>
          <cell r="F43">
            <v>7</v>
          </cell>
          <cell r="G43">
            <v>6</v>
          </cell>
          <cell r="H43">
            <v>0</v>
          </cell>
          <cell r="I43">
            <v>5</v>
          </cell>
          <cell r="K43">
            <v>10</v>
          </cell>
          <cell r="L43">
            <v>7</v>
          </cell>
          <cell r="M43">
            <v>9</v>
          </cell>
          <cell r="N43">
            <v>0</v>
          </cell>
          <cell r="O43">
            <v>4</v>
          </cell>
          <cell r="U43">
            <v>434</v>
          </cell>
          <cell r="V43">
            <v>154</v>
          </cell>
          <cell r="W43">
            <v>0</v>
          </cell>
          <cell r="X43">
            <v>140</v>
          </cell>
        </row>
        <row r="44">
          <cell r="E44">
            <v>26</v>
          </cell>
          <cell r="I44">
            <v>4</v>
          </cell>
          <cell r="K44">
            <v>26</v>
          </cell>
          <cell r="O44">
            <v>4</v>
          </cell>
          <cell r="Q44">
            <v>1500</v>
          </cell>
        </row>
        <row r="58">
          <cell r="I58">
            <v>1</v>
          </cell>
          <cell r="J58">
            <v>13</v>
          </cell>
          <cell r="O58">
            <v>1</v>
          </cell>
          <cell r="P58">
            <v>5</v>
          </cell>
        </row>
        <row r="59">
          <cell r="I59">
            <v>2</v>
          </cell>
          <cell r="O59">
            <v>0</v>
          </cell>
          <cell r="R59">
            <v>226</v>
          </cell>
          <cell r="S59">
            <v>224</v>
          </cell>
        </row>
      </sheetData>
      <sheetData sheetId="1">
        <row r="3">
          <cell r="E3">
            <v>8</v>
          </cell>
          <cell r="K3">
            <v>8</v>
          </cell>
        </row>
        <row r="21">
          <cell r="S21">
            <v>90</v>
          </cell>
        </row>
        <row r="25">
          <cell r="J25">
            <v>30</v>
          </cell>
          <cell r="P25">
            <v>30</v>
          </cell>
        </row>
        <row r="26">
          <cell r="R26">
            <v>682</v>
          </cell>
          <cell r="S26">
            <v>818</v>
          </cell>
        </row>
        <row r="40">
          <cell r="J40">
            <v>0</v>
          </cell>
          <cell r="P40">
            <v>0</v>
          </cell>
        </row>
        <row r="41">
          <cell r="R41">
            <v>0</v>
          </cell>
          <cell r="S41">
            <v>0</v>
          </cell>
          <cell r="AF41">
            <v>10</v>
          </cell>
          <cell r="AG41">
            <v>48</v>
          </cell>
          <cell r="AH41">
            <v>0</v>
          </cell>
          <cell r="AI41">
            <v>2</v>
          </cell>
          <cell r="AL41">
            <v>0</v>
          </cell>
          <cell r="AM41">
            <v>2</v>
          </cell>
        </row>
        <row r="44">
          <cell r="E44">
            <v>14</v>
          </cell>
          <cell r="F44">
            <v>6</v>
          </cell>
          <cell r="G44">
            <v>6</v>
          </cell>
          <cell r="H44">
            <v>0</v>
          </cell>
          <cell r="I44">
            <v>6</v>
          </cell>
          <cell r="K44">
            <v>10</v>
          </cell>
          <cell r="L44">
            <v>6</v>
          </cell>
          <cell r="M44">
            <v>6</v>
          </cell>
          <cell r="N44">
            <v>4</v>
          </cell>
          <cell r="O44">
            <v>4</v>
          </cell>
          <cell r="U44">
            <v>126</v>
          </cell>
          <cell r="V44">
            <v>664</v>
          </cell>
          <cell r="W44">
            <v>0</v>
          </cell>
          <cell r="X44">
            <v>28</v>
          </cell>
        </row>
        <row r="45">
          <cell r="E45">
            <v>26</v>
          </cell>
          <cell r="I45">
            <v>2</v>
          </cell>
          <cell r="K45">
            <v>26</v>
          </cell>
          <cell r="O45">
            <v>5</v>
          </cell>
          <cell r="Q45">
            <v>1500</v>
          </cell>
        </row>
        <row r="59">
          <cell r="I59">
            <v>1</v>
          </cell>
          <cell r="J59">
            <v>5</v>
          </cell>
          <cell r="O59">
            <v>1</v>
          </cell>
          <cell r="P59">
            <v>5</v>
          </cell>
        </row>
        <row r="60">
          <cell r="I60">
            <v>0</v>
          </cell>
          <cell r="O60">
            <v>0</v>
          </cell>
          <cell r="R60">
            <v>138</v>
          </cell>
          <cell r="S60">
            <v>112</v>
          </cell>
        </row>
      </sheetData>
      <sheetData sheetId="2">
        <row r="3">
          <cell r="E3">
            <v>7</v>
          </cell>
          <cell r="K3">
            <v>8</v>
          </cell>
        </row>
        <row r="20">
          <cell r="S20">
            <v>90</v>
          </cell>
        </row>
        <row r="25">
          <cell r="J25">
            <v>26</v>
          </cell>
          <cell r="P25">
            <v>26</v>
          </cell>
        </row>
        <row r="26">
          <cell r="R26">
            <v>580</v>
          </cell>
          <cell r="S26">
            <v>720</v>
          </cell>
        </row>
        <row r="40">
          <cell r="J40">
            <v>4</v>
          </cell>
          <cell r="P40">
            <v>4</v>
          </cell>
        </row>
        <row r="41">
          <cell r="R41">
            <v>102</v>
          </cell>
          <cell r="S41">
            <v>98</v>
          </cell>
          <cell r="AF41">
            <v>0</v>
          </cell>
          <cell r="AG41">
            <v>31</v>
          </cell>
          <cell r="AH41">
            <v>27</v>
          </cell>
          <cell r="AI41">
            <v>2</v>
          </cell>
          <cell r="AL41">
            <v>2</v>
          </cell>
          <cell r="AM41">
            <v>2</v>
          </cell>
        </row>
        <row r="44">
          <cell r="E44">
            <v>14</v>
          </cell>
          <cell r="F44">
            <v>2</v>
          </cell>
          <cell r="G44">
            <v>7</v>
          </cell>
          <cell r="H44">
            <v>3</v>
          </cell>
          <cell r="I44">
            <v>4</v>
          </cell>
          <cell r="K44">
            <v>14</v>
          </cell>
          <cell r="L44">
            <v>2</v>
          </cell>
          <cell r="M44">
            <v>7</v>
          </cell>
          <cell r="N44">
            <v>3</v>
          </cell>
          <cell r="O44">
            <v>5</v>
          </cell>
          <cell r="U44">
            <v>0</v>
          </cell>
          <cell r="V44">
            <v>420</v>
          </cell>
          <cell r="W44">
            <v>370</v>
          </cell>
          <cell r="X44">
            <v>28</v>
          </cell>
        </row>
        <row r="45">
          <cell r="E45">
            <v>26</v>
          </cell>
          <cell r="I45">
            <v>4</v>
          </cell>
          <cell r="K45">
            <v>26</v>
          </cell>
          <cell r="O45">
            <v>5</v>
          </cell>
          <cell r="Q45">
            <v>1500</v>
          </cell>
        </row>
        <row r="59">
          <cell r="I59">
            <v>0</v>
          </cell>
          <cell r="J59">
            <v>4</v>
          </cell>
          <cell r="O59">
            <v>2</v>
          </cell>
          <cell r="P59">
            <v>10</v>
          </cell>
        </row>
        <row r="60">
          <cell r="I60">
            <v>2</v>
          </cell>
          <cell r="O60">
            <v>1</v>
          </cell>
          <cell r="R60">
            <v>210</v>
          </cell>
          <cell r="S60">
            <v>140</v>
          </cell>
        </row>
      </sheetData>
      <sheetData sheetId="3">
        <row r="3">
          <cell r="E3">
            <v>8</v>
          </cell>
          <cell r="K3">
            <v>6</v>
          </cell>
        </row>
        <row r="15">
          <cell r="S15">
            <v>60</v>
          </cell>
        </row>
        <row r="24">
          <cell r="J24">
            <v>21</v>
          </cell>
          <cell r="P24">
            <v>31</v>
          </cell>
        </row>
        <row r="25">
          <cell r="R25">
            <v>514</v>
          </cell>
          <cell r="S25">
            <v>536</v>
          </cell>
        </row>
        <row r="39">
          <cell r="J39">
            <v>9</v>
          </cell>
          <cell r="P39">
            <v>9</v>
          </cell>
        </row>
        <row r="40">
          <cell r="R40">
            <v>198</v>
          </cell>
          <cell r="S40">
            <v>252</v>
          </cell>
          <cell r="AF40">
            <v>0</v>
          </cell>
          <cell r="AG40">
            <v>3</v>
          </cell>
          <cell r="AH40">
            <v>67</v>
          </cell>
          <cell r="AI40">
            <v>0</v>
          </cell>
          <cell r="AL40">
            <v>5</v>
          </cell>
          <cell r="AM40">
            <v>2</v>
          </cell>
        </row>
        <row r="43">
          <cell r="E43">
            <v>14</v>
          </cell>
          <cell r="F43">
            <v>2</v>
          </cell>
          <cell r="G43">
            <v>2</v>
          </cell>
          <cell r="H43">
            <v>8</v>
          </cell>
          <cell r="I43">
            <v>4</v>
          </cell>
          <cell r="K43">
            <v>12</v>
          </cell>
          <cell r="L43">
            <v>1</v>
          </cell>
          <cell r="M43">
            <v>7</v>
          </cell>
          <cell r="N43">
            <v>6</v>
          </cell>
          <cell r="O43">
            <v>4</v>
          </cell>
          <cell r="U43">
            <v>0</v>
          </cell>
          <cell r="V43">
            <v>42</v>
          </cell>
          <cell r="W43">
            <v>746</v>
          </cell>
          <cell r="X43">
            <v>0</v>
          </cell>
        </row>
        <row r="44">
          <cell r="E44">
            <v>26</v>
          </cell>
          <cell r="I44">
            <v>3</v>
          </cell>
          <cell r="K44">
            <v>26</v>
          </cell>
          <cell r="O44">
            <v>5</v>
          </cell>
          <cell r="Q44">
            <v>1500</v>
          </cell>
        </row>
        <row r="58">
          <cell r="I58">
            <v>0</v>
          </cell>
          <cell r="J58">
            <v>0</v>
          </cell>
          <cell r="O58">
            <v>0</v>
          </cell>
          <cell r="P58">
            <v>0</v>
          </cell>
        </row>
        <row r="59">
          <cell r="I59">
            <v>0</v>
          </cell>
          <cell r="O59">
            <v>0</v>
          </cell>
          <cell r="R59">
            <v>0</v>
          </cell>
          <cell r="S5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ina 1"/>
      <sheetName val="an I"/>
      <sheetName val="an II"/>
      <sheetName val="an III"/>
      <sheetName val="an IV"/>
      <sheetName val="Bilant"/>
      <sheetName val="COMPETENTE"/>
      <sheetName val="Sheet1"/>
    </sheetNames>
    <sheetDataSet>
      <sheetData sheetId="2">
        <row r="14">
          <cell r="I14" t="str">
            <v>E</v>
          </cell>
        </row>
        <row r="15">
          <cell r="I15" t="str">
            <v>E</v>
          </cell>
        </row>
        <row r="16">
          <cell r="I16" t="str">
            <v>E</v>
          </cell>
        </row>
        <row r="17">
          <cell r="I17" t="str">
            <v>E</v>
          </cell>
        </row>
        <row r="18">
          <cell r="I18" t="str">
            <v>E</v>
          </cell>
        </row>
        <row r="19">
          <cell r="I19" t="str">
            <v>C</v>
          </cell>
        </row>
        <row r="20">
          <cell r="I20" t="str">
            <v>C</v>
          </cell>
        </row>
        <row r="21">
          <cell r="I21" t="str">
            <v>A/R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0"/>
  <sheetViews>
    <sheetView zoomScale="70" zoomScaleNormal="70" zoomScalePageLayoutView="0" workbookViewId="0" topLeftCell="A1">
      <selection activeCell="M13" sqref="M13"/>
    </sheetView>
  </sheetViews>
  <sheetFormatPr defaultColWidth="9.140625" defaultRowHeight="12.75"/>
  <cols>
    <col min="1" max="1" width="33.28125" style="0" bestFit="1" customWidth="1"/>
    <col min="2" max="2" width="4.7109375" style="0" hidden="1" customWidth="1"/>
    <col min="3" max="3" width="9.140625" style="0" hidden="1" customWidth="1"/>
    <col min="42" max="42" width="0.2890625" style="0" hidden="1" customWidth="1"/>
    <col min="43" max="48" width="9.140625" style="0" hidden="1" customWidth="1"/>
  </cols>
  <sheetData>
    <row r="3" spans="1:4" ht="15">
      <c r="A3" s="340" t="s">
        <v>22</v>
      </c>
      <c r="B3" s="340"/>
      <c r="C3" s="340"/>
      <c r="D3" s="341"/>
    </row>
    <row r="4" spans="1:4" ht="15">
      <c r="A4" s="340" t="s">
        <v>562</v>
      </c>
      <c r="B4" s="340"/>
      <c r="C4" s="340"/>
      <c r="D4" s="341"/>
    </row>
    <row r="5" spans="1:3" ht="12.75">
      <c r="A5" s="56"/>
      <c r="B5" s="21"/>
      <c r="C5" s="21"/>
    </row>
    <row r="6" spans="1:3" ht="12.75">
      <c r="A6" s="56"/>
      <c r="B6" s="21"/>
      <c r="C6" s="21"/>
    </row>
    <row r="7" spans="1:3" ht="12.75">
      <c r="A7" s="56"/>
      <c r="B7" s="21"/>
      <c r="C7" s="21"/>
    </row>
    <row r="8" spans="1:3" ht="12.75">
      <c r="A8" s="56"/>
      <c r="B8" s="21"/>
      <c r="C8" s="21"/>
    </row>
    <row r="9" spans="1:3" ht="12.75">
      <c r="A9" s="56"/>
      <c r="B9" s="21"/>
      <c r="C9" s="21"/>
    </row>
    <row r="10" spans="1:3" ht="12.75">
      <c r="A10" s="56"/>
      <c r="B10" s="21"/>
      <c r="C10" s="21"/>
    </row>
    <row r="11" spans="1:3" ht="12.75">
      <c r="A11" s="56"/>
      <c r="B11" s="21"/>
      <c r="C11" s="21"/>
    </row>
    <row r="12" spans="1:3" ht="12.75">
      <c r="A12" s="56"/>
      <c r="B12" s="21"/>
      <c r="C12" s="21"/>
    </row>
    <row r="13" spans="1:3" ht="12.75">
      <c r="A13" s="56"/>
      <c r="B13" s="21"/>
      <c r="C13" s="21"/>
    </row>
    <row r="14" spans="1:3" ht="12.75">
      <c r="A14" s="56"/>
      <c r="B14" s="21"/>
      <c r="C14" s="21"/>
    </row>
    <row r="15" spans="1:3" ht="12.75">
      <c r="A15" s="56"/>
      <c r="B15" s="21"/>
      <c r="C15" s="21"/>
    </row>
    <row r="16" spans="1:10" ht="18" customHeight="1">
      <c r="A16" s="1025" t="s">
        <v>27</v>
      </c>
      <c r="B16" s="1025"/>
      <c r="C16" s="1025"/>
      <c r="D16" s="1025"/>
      <c r="E16" s="1025"/>
      <c r="F16" s="1025"/>
      <c r="G16" s="1025"/>
      <c r="H16" s="1025"/>
      <c r="I16" s="1025"/>
      <c r="J16" s="1025"/>
    </row>
    <row r="17" spans="1:3" ht="14.25" customHeight="1">
      <c r="A17" s="60"/>
      <c r="B17" s="60"/>
      <c r="C17" s="60"/>
    </row>
    <row r="18" spans="1:3" ht="14.25" customHeight="1">
      <c r="A18" s="60"/>
      <c r="B18" s="60"/>
      <c r="C18" s="60"/>
    </row>
    <row r="19" spans="1:3" ht="14.25" customHeight="1">
      <c r="A19" s="60"/>
      <c r="B19" s="60"/>
      <c r="C19" s="60"/>
    </row>
    <row r="20" spans="1:3" ht="14.25" customHeight="1">
      <c r="A20" s="60"/>
      <c r="B20" s="60"/>
      <c r="C20" s="60"/>
    </row>
    <row r="21" spans="1:3" ht="14.25" customHeight="1">
      <c r="A21" s="60"/>
      <c r="B21" s="60"/>
      <c r="C21" s="60"/>
    </row>
    <row r="22" spans="1:3" ht="14.25" customHeight="1">
      <c r="A22" s="60"/>
      <c r="B22" s="60"/>
      <c r="C22" s="60"/>
    </row>
    <row r="23" spans="1:3" ht="14.25" customHeight="1">
      <c r="A23" s="60"/>
      <c r="B23" s="60"/>
      <c r="C23" s="60"/>
    </row>
    <row r="24" spans="1:3" ht="12.75">
      <c r="A24" s="20"/>
      <c r="B24" s="20"/>
      <c r="C24" s="20"/>
    </row>
    <row r="25" spans="1:3" ht="15">
      <c r="A25" s="342" t="s">
        <v>76</v>
      </c>
      <c r="B25" s="30"/>
      <c r="C25" s="30"/>
    </row>
    <row r="26" spans="1:3" ht="15">
      <c r="A26" s="342" t="s">
        <v>606</v>
      </c>
      <c r="B26" s="20"/>
      <c r="C26" s="20"/>
    </row>
    <row r="27" spans="1:3" ht="15">
      <c r="A27" s="342" t="s">
        <v>257</v>
      </c>
      <c r="B27" s="20"/>
      <c r="C27" s="20"/>
    </row>
    <row r="28" spans="1:3" ht="15">
      <c r="A28" s="342" t="s">
        <v>77</v>
      </c>
      <c r="B28" s="20"/>
      <c r="C28" s="20"/>
    </row>
    <row r="29" spans="1:3" ht="15">
      <c r="A29" s="343" t="s">
        <v>605</v>
      </c>
      <c r="B29" s="30"/>
      <c r="C29" s="30"/>
    </row>
    <row r="30" spans="1:3" ht="12.75">
      <c r="A30" s="27"/>
      <c r="B30" s="26"/>
      <c r="C30" s="26"/>
    </row>
    <row r="31" spans="1:3" ht="12.75">
      <c r="A31" s="77"/>
      <c r="B31" s="77"/>
      <c r="C31" s="77"/>
    </row>
    <row r="32" spans="1:3" ht="12.75">
      <c r="A32" s="74"/>
      <c r="B32" s="74"/>
      <c r="C32" s="74"/>
    </row>
    <row r="33" spans="1:3" ht="12.75">
      <c r="A33" s="74"/>
      <c r="B33" s="74"/>
      <c r="C33" s="74"/>
    </row>
    <row r="34" spans="1:3" ht="12.75">
      <c r="A34" s="74"/>
      <c r="B34" s="74"/>
      <c r="C34" s="74"/>
    </row>
    <row r="35" spans="1:3" ht="12.75">
      <c r="A35" s="74"/>
      <c r="B35" s="74"/>
      <c r="C35" s="74"/>
    </row>
    <row r="36" spans="1:3" ht="12.75">
      <c r="A36" s="74"/>
      <c r="B36" s="74"/>
      <c r="C36" s="74"/>
    </row>
    <row r="37" spans="1:3" ht="12.75">
      <c r="A37" s="77"/>
      <c r="B37" s="77"/>
      <c r="C37" s="77"/>
    </row>
    <row r="38" spans="1:3" ht="12.75">
      <c r="A38" s="17"/>
      <c r="B38" s="17"/>
      <c r="C38" s="17"/>
    </row>
    <row r="39" spans="1:3" ht="12.75">
      <c r="A39" s="17"/>
      <c r="B39" s="17"/>
      <c r="C39" s="17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2" spans="1:3" ht="12.75">
      <c r="A42" s="17"/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  <row r="48" spans="1:3" ht="12.75">
      <c r="A48" s="76"/>
      <c r="B48" s="76"/>
      <c r="C48" s="76"/>
    </row>
    <row r="49" spans="1:3" ht="12.75">
      <c r="A49" s="17"/>
      <c r="B49" s="17"/>
      <c r="C49" s="17"/>
    </row>
    <row r="50" spans="1:3" ht="12.75">
      <c r="A50" s="75"/>
      <c r="B50" s="75"/>
      <c r="C50" s="75"/>
    </row>
    <row r="51" spans="1:3" ht="12.75">
      <c r="A51" s="75"/>
      <c r="B51" s="75"/>
      <c r="C51" s="75"/>
    </row>
    <row r="52" spans="1:3" ht="12.75">
      <c r="A52" s="75"/>
      <c r="B52" s="75"/>
      <c r="C52" s="75"/>
    </row>
    <row r="53" spans="1:3" ht="12.75">
      <c r="A53" s="75"/>
      <c r="B53" s="75"/>
      <c r="C53" s="75"/>
    </row>
    <row r="54" spans="1:3" ht="12.75">
      <c r="A54" s="75"/>
      <c r="B54" s="75"/>
      <c r="C54" s="75"/>
    </row>
    <row r="55" spans="1:3" ht="12.75">
      <c r="A55" s="75"/>
      <c r="B55" s="75"/>
      <c r="C55" s="75"/>
    </row>
    <row r="56" spans="1:3" ht="12.75">
      <c r="A56" s="75"/>
      <c r="B56" s="75"/>
      <c r="C56" s="75"/>
    </row>
    <row r="57" spans="1:3" ht="12.75">
      <c r="A57" s="17"/>
      <c r="B57" s="17"/>
      <c r="C57" s="17"/>
    </row>
    <row r="58" spans="1:3" ht="12.75">
      <c r="A58" s="74"/>
      <c r="B58" s="74"/>
      <c r="C58" s="74"/>
    </row>
    <row r="59" spans="1:3" ht="12.75">
      <c r="A59" s="17"/>
      <c r="B59" s="74"/>
      <c r="C59" s="74"/>
    </row>
    <row r="60" spans="1:3" ht="12.75">
      <c r="A60" s="17"/>
      <c r="B60" s="76"/>
      <c r="C60" s="76"/>
    </row>
    <row r="61" spans="1:3" ht="12.75">
      <c r="A61" s="74"/>
      <c r="B61" s="74"/>
      <c r="C61" s="74"/>
    </row>
    <row r="62" spans="1:3" ht="12.75">
      <c r="A62" s="74"/>
      <c r="B62" s="74"/>
      <c r="C62" s="74"/>
    </row>
    <row r="63" spans="1:3" ht="12.75">
      <c r="A63" s="74"/>
      <c r="B63" s="74"/>
      <c r="C63" s="74"/>
    </row>
    <row r="64" spans="1:3" ht="12.75">
      <c r="A64" s="17"/>
      <c r="B64" s="74"/>
      <c r="C64" s="74"/>
    </row>
    <row r="65" spans="1:3" ht="12.75">
      <c r="A65" s="17"/>
      <c r="B65" s="74"/>
      <c r="C65" s="74"/>
    </row>
    <row r="66" spans="1:3" ht="12.75">
      <c r="A66" s="74"/>
      <c r="B66" s="74"/>
      <c r="C66" s="74"/>
    </row>
    <row r="67" spans="1:3" ht="12.75">
      <c r="A67" s="17"/>
      <c r="B67" s="78"/>
      <c r="C67" s="78"/>
    </row>
    <row r="68" spans="2:3" ht="12.75">
      <c r="B68" s="5"/>
      <c r="C68" s="5"/>
    </row>
    <row r="69" spans="2:3" ht="12.75">
      <c r="B69" s="4"/>
      <c r="C69" s="29"/>
    </row>
    <row r="70" spans="1:3" ht="12.75">
      <c r="A70" s="13"/>
      <c r="B70" s="13"/>
      <c r="C70" s="13"/>
    </row>
  </sheetData>
  <sheetProtection/>
  <mergeCells count="1">
    <mergeCell ref="A16:J16"/>
  </mergeCells>
  <printOptions/>
  <pageMargins left="0.62992125984252" right="0.590551181102362" top="0.748031496062992" bottom="0.984251968503937" header="0.511811023622047" footer="0.511811023622047"/>
  <pageSetup horizontalDpi="600" verticalDpi="600" orientation="portrait" paperSize="9" scale="90" r:id="rId1"/>
  <headerFooter alignWithMargins="0">
    <oddFooter>&amp;R1/7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A69"/>
  <sheetViews>
    <sheetView zoomScalePageLayoutView="0" workbookViewId="0" topLeftCell="D1">
      <selection activeCell="E1" sqref="E1"/>
    </sheetView>
  </sheetViews>
  <sheetFormatPr defaultColWidth="9.140625" defaultRowHeight="12.75"/>
  <cols>
    <col min="1" max="1" width="3.7109375" style="0" customWidth="1"/>
    <col min="2" max="2" width="34.7109375" style="0" customWidth="1"/>
    <col min="3" max="3" width="6.57421875" style="0" customWidth="1"/>
    <col min="4" max="4" width="7.421875" style="0" customWidth="1"/>
    <col min="5" max="5" width="4.8515625" style="0" customWidth="1"/>
    <col min="6" max="7" width="4.7109375" style="0" customWidth="1"/>
    <col min="8" max="8" width="5.00390625" style="0" customWidth="1"/>
    <col min="9" max="9" width="6.140625" style="0" customWidth="1"/>
    <col min="10" max="10" width="6.28125" style="0" customWidth="1"/>
    <col min="11" max="11" width="4.57421875" style="0" customWidth="1"/>
    <col min="12" max="12" width="5.28125" style="0" customWidth="1"/>
    <col min="13" max="13" width="4.57421875" style="0" customWidth="1"/>
    <col min="14" max="14" width="4.7109375" style="0" customWidth="1"/>
    <col min="15" max="15" width="5.8515625" style="0" customWidth="1"/>
    <col min="16" max="16" width="5.7109375" style="0" customWidth="1"/>
    <col min="17" max="17" width="6.00390625" style="0" customWidth="1"/>
    <col min="18" max="18" width="6.28125" style="0" customWidth="1"/>
    <col min="19" max="19" width="6.421875" style="0" customWidth="1"/>
    <col min="20" max="20" width="5.8515625" style="0" customWidth="1"/>
    <col min="21" max="21" width="3.7109375" style="0" customWidth="1"/>
    <col min="22" max="23" width="4.8515625" style="0" customWidth="1"/>
    <col min="24" max="37" width="3.7109375" style="0" customWidth="1"/>
    <col min="38" max="38" width="6.00390625" style="0" customWidth="1"/>
    <col min="39" max="39" width="7.140625" style="0" customWidth="1"/>
  </cols>
  <sheetData>
    <row r="1" spans="1:18" ht="12.75">
      <c r="A1" s="364" t="s">
        <v>282</v>
      </c>
      <c r="B1" s="82"/>
      <c r="C1" s="82"/>
      <c r="D1" s="364"/>
      <c r="E1" s="365" t="s">
        <v>283</v>
      </c>
      <c r="R1" s="366">
        <v>25</v>
      </c>
    </row>
    <row r="2" spans="1:28" ht="12.75">
      <c r="A2" s="364" t="s">
        <v>108</v>
      </c>
      <c r="B2" s="364"/>
      <c r="C2" s="364"/>
      <c r="D2" s="367"/>
      <c r="E2" s="364" t="s">
        <v>285</v>
      </c>
      <c r="F2" s="364"/>
      <c r="G2" s="364"/>
      <c r="H2" s="364"/>
      <c r="I2" s="364"/>
      <c r="J2" s="367"/>
      <c r="K2" s="364" t="s">
        <v>286</v>
      </c>
      <c r="L2" s="364"/>
      <c r="M2" s="364"/>
      <c r="N2" s="364"/>
      <c r="O2" s="364"/>
      <c r="P2" s="367"/>
      <c r="R2" s="366"/>
      <c r="Z2" t="s">
        <v>287</v>
      </c>
      <c r="AB2" t="s">
        <v>288</v>
      </c>
    </row>
    <row r="3" spans="4:39" ht="12.75">
      <c r="D3" s="369" t="s">
        <v>289</v>
      </c>
      <c r="E3" s="370">
        <v>7</v>
      </c>
      <c r="F3" s="370" t="s">
        <v>290</v>
      </c>
      <c r="G3" s="370"/>
      <c r="J3" s="369"/>
      <c r="K3" s="370">
        <v>8</v>
      </c>
      <c r="L3" s="370" t="s">
        <v>312</v>
      </c>
      <c r="M3" s="370"/>
      <c r="N3" s="370"/>
      <c r="P3" s="369"/>
      <c r="R3" s="371" t="s">
        <v>291</v>
      </c>
      <c r="S3" t="s">
        <v>292</v>
      </c>
      <c r="U3" t="s">
        <v>82</v>
      </c>
      <c r="V3" t="s">
        <v>112</v>
      </c>
      <c r="W3" t="s">
        <v>88</v>
      </c>
      <c r="X3" t="s">
        <v>85</v>
      </c>
      <c r="Z3" t="s">
        <v>60</v>
      </c>
      <c r="AA3" t="s">
        <v>61</v>
      </c>
      <c r="AB3" t="s">
        <v>60</v>
      </c>
      <c r="AC3" t="s">
        <v>61</v>
      </c>
      <c r="AF3" t="s">
        <v>82</v>
      </c>
      <c r="AG3" t="s">
        <v>112</v>
      </c>
      <c r="AH3" t="s">
        <v>88</v>
      </c>
      <c r="AI3" t="s">
        <v>85</v>
      </c>
      <c r="AK3" t="s">
        <v>12</v>
      </c>
      <c r="AL3" t="s">
        <v>287</v>
      </c>
      <c r="AM3" t="s">
        <v>288</v>
      </c>
    </row>
    <row r="4" spans="1:29" ht="12.75">
      <c r="A4" s="372" t="s">
        <v>293</v>
      </c>
      <c r="B4" s="372" t="s">
        <v>6</v>
      </c>
      <c r="C4" s="404" t="s">
        <v>294</v>
      </c>
      <c r="D4" s="405" t="s">
        <v>295</v>
      </c>
      <c r="E4" s="404" t="s">
        <v>9</v>
      </c>
      <c r="F4" s="404" t="s">
        <v>10</v>
      </c>
      <c r="G4" s="404" t="s">
        <v>11</v>
      </c>
      <c r="H4" s="404" t="s">
        <v>12</v>
      </c>
      <c r="I4" s="404" t="s">
        <v>296</v>
      </c>
      <c r="J4" s="405" t="s">
        <v>297</v>
      </c>
      <c r="K4" s="404" t="s">
        <v>9</v>
      </c>
      <c r="L4" s="404" t="s">
        <v>10</v>
      </c>
      <c r="M4" s="404" t="s">
        <v>11</v>
      </c>
      <c r="N4" s="404" t="s">
        <v>12</v>
      </c>
      <c r="O4" s="404" t="s">
        <v>296</v>
      </c>
      <c r="P4" s="405" t="s">
        <v>297</v>
      </c>
      <c r="R4" s="366"/>
      <c r="Z4" t="s">
        <v>298</v>
      </c>
      <c r="AA4" t="s">
        <v>9</v>
      </c>
      <c r="AB4" t="s">
        <v>299</v>
      </c>
      <c r="AC4" t="s">
        <v>9</v>
      </c>
    </row>
    <row r="5" spans="1:39" ht="12.75">
      <c r="A5" s="374">
        <v>1</v>
      </c>
      <c r="B5" s="380" t="s">
        <v>114</v>
      </c>
      <c r="C5" s="376" t="s">
        <v>112</v>
      </c>
      <c r="D5" s="376" t="s">
        <v>300</v>
      </c>
      <c r="E5" s="377">
        <v>2</v>
      </c>
      <c r="F5" s="377">
        <v>1</v>
      </c>
      <c r="G5" s="377">
        <v>1</v>
      </c>
      <c r="H5" s="377"/>
      <c r="I5" s="377" t="s">
        <v>81</v>
      </c>
      <c r="J5" s="377">
        <v>4</v>
      </c>
      <c r="K5" s="377"/>
      <c r="L5" s="377"/>
      <c r="M5" s="377"/>
      <c r="N5" s="377"/>
      <c r="O5" s="377"/>
      <c r="P5" s="376"/>
      <c r="Q5" s="82"/>
      <c r="R5" s="366">
        <f>(J5+P5)*$R$1-S5</f>
        <v>44</v>
      </c>
      <c r="S5">
        <f aca="true" t="shared" si="0" ref="S5:S23">SUM(E5:H5)*14+SUM(K5:N5)*14</f>
        <v>56</v>
      </c>
      <c r="U5">
        <f>IF($C5="DF",1,0)*$S5</f>
        <v>0</v>
      </c>
      <c r="V5">
        <f>IF($C5="DD",1,0)*$S5</f>
        <v>56</v>
      </c>
      <c r="W5">
        <f>IF($C5="DS",1,0)*$S5</f>
        <v>0</v>
      </c>
      <c r="X5">
        <f>IF($C5="DC",1,0)*$S5</f>
        <v>0</v>
      </c>
      <c r="Z5">
        <f>IF(I5="E",1,0)</f>
        <v>1</v>
      </c>
      <c r="AA5">
        <f>IF(I5="C",1,0)</f>
        <v>0</v>
      </c>
      <c r="AB5">
        <f>IF(O5="E",1,0)</f>
        <v>0</v>
      </c>
      <c r="AC5">
        <f>IF(O5="C",1,0)</f>
        <v>0</v>
      </c>
      <c r="AE5">
        <f>J5+P5</f>
        <v>4</v>
      </c>
      <c r="AF5">
        <f>IF($C5="DF",1,0)*$AE5</f>
        <v>0</v>
      </c>
      <c r="AG5">
        <f>IF($C5="DD",1,0)*$AE5</f>
        <v>4</v>
      </c>
      <c r="AH5">
        <f>IF($C5="DS",1,0)*$AE5</f>
        <v>0</v>
      </c>
      <c r="AI5">
        <f>IF($C5="DC",1,0)*$AE5</f>
        <v>0</v>
      </c>
      <c r="AK5">
        <f>AL5+AM5</f>
        <v>0</v>
      </c>
      <c r="AL5">
        <f>IF(H5&gt;0,1,0)</f>
        <v>0</v>
      </c>
      <c r="AM5">
        <f>IF(N5&gt;0,1,0)</f>
        <v>0</v>
      </c>
    </row>
    <row r="6" spans="1:39" ht="12.75">
      <c r="A6" s="374">
        <v>2</v>
      </c>
      <c r="B6" s="380" t="s">
        <v>114</v>
      </c>
      <c r="C6" s="376" t="s">
        <v>112</v>
      </c>
      <c r="D6" s="376" t="s">
        <v>300</v>
      </c>
      <c r="E6" s="377"/>
      <c r="F6" s="377"/>
      <c r="G6" s="377"/>
      <c r="H6" s="377">
        <v>2</v>
      </c>
      <c r="I6" s="377" t="s">
        <v>9</v>
      </c>
      <c r="J6" s="377">
        <v>2</v>
      </c>
      <c r="K6" s="377"/>
      <c r="L6" s="377"/>
      <c r="M6" s="377"/>
      <c r="N6" s="377"/>
      <c r="O6" s="377"/>
      <c r="P6" s="376"/>
      <c r="Q6" s="82"/>
      <c r="R6" s="366">
        <f aca="true" t="shared" si="1" ref="R6:R20">(J6+P6)*$R$1-S6</f>
        <v>22</v>
      </c>
      <c r="S6">
        <f t="shared" si="0"/>
        <v>28</v>
      </c>
      <c r="U6">
        <f aca="true" t="shared" si="2" ref="U6:U24">IF($C6="DF",1,0)*$S6</f>
        <v>0</v>
      </c>
      <c r="V6">
        <f aca="true" t="shared" si="3" ref="V6:V24">IF($C6="DD",1,0)*$S6</f>
        <v>28</v>
      </c>
      <c r="W6">
        <f aca="true" t="shared" si="4" ref="W6:W24">IF($C6="DS",1,0)*$S6</f>
        <v>0</v>
      </c>
      <c r="X6">
        <f aca="true" t="shared" si="5" ref="X6:X24">IF($C6="DC",1,0)*$S6</f>
        <v>0</v>
      </c>
      <c r="Z6">
        <f aca="true" t="shared" si="6" ref="Z6:Z24">IF(I6="E",1,0)</f>
        <v>0</v>
      </c>
      <c r="AA6">
        <f aca="true" t="shared" si="7" ref="AA6:AA24">IF(I6="C",1,0)</f>
        <v>1</v>
      </c>
      <c r="AB6">
        <f aca="true" t="shared" si="8" ref="AB6:AB24">IF(O6="E",1,0)</f>
        <v>0</v>
      </c>
      <c r="AC6">
        <f aca="true" t="shared" si="9" ref="AC6:AC24">IF(O6="C",1,0)</f>
        <v>0</v>
      </c>
      <c r="AE6">
        <f aca="true" t="shared" si="10" ref="AE6:AE24">J6+P6</f>
        <v>2</v>
      </c>
      <c r="AF6">
        <f aca="true" t="shared" si="11" ref="AF6:AF24">IF($C6="DF",1,0)*$AE6</f>
        <v>0</v>
      </c>
      <c r="AG6">
        <f aca="true" t="shared" si="12" ref="AG6:AG24">IF($C6="DD",1,0)*$AE6</f>
        <v>2</v>
      </c>
      <c r="AH6">
        <f aca="true" t="shared" si="13" ref="AH6:AH24">IF($C6="DS",1,0)*$AE6</f>
        <v>0</v>
      </c>
      <c r="AI6">
        <f aca="true" t="shared" si="14" ref="AI6:AI24">IF($C6="DC",1,0)*$AE6</f>
        <v>0</v>
      </c>
      <c r="AK6">
        <f aca="true" t="shared" si="15" ref="AK6:AK24">AL6+AM6</f>
        <v>1</v>
      </c>
      <c r="AL6">
        <f aca="true" t="shared" si="16" ref="AL6:AL24">IF(H6&gt;0,1,0)</f>
        <v>1</v>
      </c>
      <c r="AM6">
        <f aca="true" t="shared" si="17" ref="AM6:AM24">IF(N6&gt;0,1,0)</f>
        <v>0</v>
      </c>
    </row>
    <row r="7" spans="1:39" ht="12.75">
      <c r="A7" s="374">
        <v>3</v>
      </c>
      <c r="B7" s="380" t="s">
        <v>121</v>
      </c>
      <c r="C7" s="376" t="s">
        <v>112</v>
      </c>
      <c r="D7" s="376" t="s">
        <v>300</v>
      </c>
      <c r="E7" s="377">
        <v>2</v>
      </c>
      <c r="F7" s="377"/>
      <c r="G7" s="377">
        <v>2</v>
      </c>
      <c r="H7" s="377"/>
      <c r="I7" s="377" t="s">
        <v>9</v>
      </c>
      <c r="J7" s="377">
        <v>4</v>
      </c>
      <c r="K7" s="377"/>
      <c r="L7" s="377"/>
      <c r="M7" s="377"/>
      <c r="N7" s="377"/>
      <c r="O7" s="377"/>
      <c r="P7" s="376"/>
      <c r="Q7" s="82"/>
      <c r="R7" s="366">
        <f t="shared" si="1"/>
        <v>44</v>
      </c>
      <c r="S7">
        <f t="shared" si="0"/>
        <v>56</v>
      </c>
      <c r="U7">
        <f t="shared" si="2"/>
        <v>0</v>
      </c>
      <c r="V7">
        <f t="shared" si="3"/>
        <v>56</v>
      </c>
      <c r="W7">
        <f t="shared" si="4"/>
        <v>0</v>
      </c>
      <c r="X7">
        <f t="shared" si="5"/>
        <v>0</v>
      </c>
      <c r="Z7">
        <f t="shared" si="6"/>
        <v>0</v>
      </c>
      <c r="AA7">
        <f t="shared" si="7"/>
        <v>1</v>
      </c>
      <c r="AB7">
        <f t="shared" si="8"/>
        <v>0</v>
      </c>
      <c r="AC7">
        <f t="shared" si="9"/>
        <v>0</v>
      </c>
      <c r="AE7">
        <f t="shared" si="10"/>
        <v>4</v>
      </c>
      <c r="AF7">
        <f t="shared" si="11"/>
        <v>0</v>
      </c>
      <c r="AG7">
        <f t="shared" si="12"/>
        <v>4</v>
      </c>
      <c r="AH7">
        <f t="shared" si="13"/>
        <v>0</v>
      </c>
      <c r="AI7">
        <f t="shared" si="14"/>
        <v>0</v>
      </c>
      <c r="AK7">
        <f t="shared" si="15"/>
        <v>0</v>
      </c>
      <c r="AL7">
        <f t="shared" si="16"/>
        <v>0</v>
      </c>
      <c r="AM7">
        <f t="shared" si="17"/>
        <v>0</v>
      </c>
    </row>
    <row r="8" spans="1:39" ht="12.75">
      <c r="A8" s="374">
        <v>4</v>
      </c>
      <c r="B8" s="380" t="s">
        <v>162</v>
      </c>
      <c r="C8" s="376" t="s">
        <v>88</v>
      </c>
      <c r="D8" s="376" t="s">
        <v>300</v>
      </c>
      <c r="E8" s="377">
        <v>2</v>
      </c>
      <c r="F8" s="377">
        <v>1</v>
      </c>
      <c r="G8" s="377"/>
      <c r="H8" s="377"/>
      <c r="I8" s="377" t="s">
        <v>9</v>
      </c>
      <c r="J8" s="377">
        <v>4</v>
      </c>
      <c r="K8" s="377"/>
      <c r="L8" s="377"/>
      <c r="M8" s="377"/>
      <c r="N8" s="377"/>
      <c r="O8" s="377"/>
      <c r="P8" s="376"/>
      <c r="Q8" s="82"/>
      <c r="R8" s="366">
        <f t="shared" si="1"/>
        <v>58</v>
      </c>
      <c r="S8">
        <f t="shared" si="0"/>
        <v>42</v>
      </c>
      <c r="U8">
        <f t="shared" si="2"/>
        <v>0</v>
      </c>
      <c r="V8">
        <f t="shared" si="3"/>
        <v>0</v>
      </c>
      <c r="W8">
        <f t="shared" si="4"/>
        <v>42</v>
      </c>
      <c r="X8">
        <f t="shared" si="5"/>
        <v>0</v>
      </c>
      <c r="Z8">
        <f t="shared" si="6"/>
        <v>0</v>
      </c>
      <c r="AA8">
        <f t="shared" si="7"/>
        <v>1</v>
      </c>
      <c r="AB8">
        <f t="shared" si="8"/>
        <v>0</v>
      </c>
      <c r="AC8">
        <f t="shared" si="9"/>
        <v>0</v>
      </c>
      <c r="AE8">
        <f t="shared" si="10"/>
        <v>4</v>
      </c>
      <c r="AF8">
        <f t="shared" si="11"/>
        <v>0</v>
      </c>
      <c r="AG8">
        <f t="shared" si="12"/>
        <v>0</v>
      </c>
      <c r="AH8">
        <f t="shared" si="13"/>
        <v>4</v>
      </c>
      <c r="AI8">
        <f t="shared" si="14"/>
        <v>0</v>
      </c>
      <c r="AK8">
        <f t="shared" si="15"/>
        <v>0</v>
      </c>
      <c r="AL8">
        <f t="shared" si="16"/>
        <v>0</v>
      </c>
      <c r="AM8">
        <f t="shared" si="17"/>
        <v>0</v>
      </c>
    </row>
    <row r="9" spans="1:39" ht="12.75">
      <c r="A9" s="374">
        <v>5</v>
      </c>
      <c r="B9" s="380" t="s">
        <v>125</v>
      </c>
      <c r="C9" s="376" t="s">
        <v>88</v>
      </c>
      <c r="D9" s="376" t="s">
        <v>300</v>
      </c>
      <c r="E9" s="377">
        <v>2</v>
      </c>
      <c r="F9" s="377"/>
      <c r="G9" s="377">
        <v>1</v>
      </c>
      <c r="H9" s="377"/>
      <c r="I9" s="377" t="s">
        <v>81</v>
      </c>
      <c r="J9" s="377">
        <v>4</v>
      </c>
      <c r="K9" s="377"/>
      <c r="L9" s="377"/>
      <c r="M9" s="377"/>
      <c r="N9" s="377"/>
      <c r="O9" s="377"/>
      <c r="P9" s="376"/>
      <c r="Q9" s="82"/>
      <c r="R9" s="366">
        <f t="shared" si="1"/>
        <v>58</v>
      </c>
      <c r="S9">
        <f t="shared" si="0"/>
        <v>42</v>
      </c>
      <c r="U9">
        <f t="shared" si="2"/>
        <v>0</v>
      </c>
      <c r="V9">
        <f t="shared" si="3"/>
        <v>0</v>
      </c>
      <c r="W9">
        <f t="shared" si="4"/>
        <v>42</v>
      </c>
      <c r="X9">
        <f t="shared" si="5"/>
        <v>0</v>
      </c>
      <c r="Z9">
        <f t="shared" si="6"/>
        <v>1</v>
      </c>
      <c r="AA9">
        <f t="shared" si="7"/>
        <v>0</v>
      </c>
      <c r="AB9">
        <f t="shared" si="8"/>
        <v>0</v>
      </c>
      <c r="AC9">
        <f t="shared" si="9"/>
        <v>0</v>
      </c>
      <c r="AE9">
        <f t="shared" si="10"/>
        <v>4</v>
      </c>
      <c r="AF9">
        <f t="shared" si="11"/>
        <v>0</v>
      </c>
      <c r="AG9">
        <f t="shared" si="12"/>
        <v>0</v>
      </c>
      <c r="AH9">
        <f t="shared" si="13"/>
        <v>4</v>
      </c>
      <c r="AI9">
        <f t="shared" si="14"/>
        <v>0</v>
      </c>
      <c r="AK9">
        <f t="shared" si="15"/>
        <v>0</v>
      </c>
      <c r="AL9">
        <f t="shared" si="16"/>
        <v>0</v>
      </c>
      <c r="AM9">
        <f t="shared" si="17"/>
        <v>0</v>
      </c>
    </row>
    <row r="10" spans="1:39" ht="12.75">
      <c r="A10" s="374">
        <v>6</v>
      </c>
      <c r="B10" s="380" t="s">
        <v>176</v>
      </c>
      <c r="C10" s="376" t="s">
        <v>88</v>
      </c>
      <c r="D10" s="376" t="s">
        <v>300</v>
      </c>
      <c r="E10" s="377">
        <v>2</v>
      </c>
      <c r="F10" s="377"/>
      <c r="G10" s="377">
        <v>1</v>
      </c>
      <c r="H10" s="377">
        <v>1</v>
      </c>
      <c r="I10" s="377" t="s">
        <v>9</v>
      </c>
      <c r="J10" s="377">
        <v>4</v>
      </c>
      <c r="K10" s="377"/>
      <c r="L10" s="377"/>
      <c r="M10" s="377"/>
      <c r="N10" s="377"/>
      <c r="O10" s="377"/>
      <c r="P10" s="376"/>
      <c r="Q10" s="82"/>
      <c r="R10" s="366">
        <f t="shared" si="1"/>
        <v>44</v>
      </c>
      <c r="S10">
        <f t="shared" si="0"/>
        <v>56</v>
      </c>
      <c r="U10">
        <f t="shared" si="2"/>
        <v>0</v>
      </c>
      <c r="V10">
        <f t="shared" si="3"/>
        <v>0</v>
      </c>
      <c r="W10">
        <f t="shared" si="4"/>
        <v>56</v>
      </c>
      <c r="X10">
        <f t="shared" si="5"/>
        <v>0</v>
      </c>
      <c r="Z10">
        <f t="shared" si="6"/>
        <v>0</v>
      </c>
      <c r="AA10">
        <f t="shared" si="7"/>
        <v>1</v>
      </c>
      <c r="AB10">
        <f t="shared" si="8"/>
        <v>0</v>
      </c>
      <c r="AC10">
        <f t="shared" si="9"/>
        <v>0</v>
      </c>
      <c r="AE10">
        <f t="shared" si="10"/>
        <v>4</v>
      </c>
      <c r="AF10">
        <f t="shared" si="11"/>
        <v>0</v>
      </c>
      <c r="AG10">
        <f t="shared" si="12"/>
        <v>0</v>
      </c>
      <c r="AH10">
        <f t="shared" si="13"/>
        <v>4</v>
      </c>
      <c r="AI10">
        <f t="shared" si="14"/>
        <v>0</v>
      </c>
      <c r="AK10">
        <f t="shared" si="15"/>
        <v>1</v>
      </c>
      <c r="AL10">
        <f t="shared" si="16"/>
        <v>1</v>
      </c>
      <c r="AM10">
        <f t="shared" si="17"/>
        <v>0</v>
      </c>
    </row>
    <row r="11" spans="1:39" ht="12.75">
      <c r="A11" s="374">
        <v>7</v>
      </c>
      <c r="B11" s="380" t="s">
        <v>180</v>
      </c>
      <c r="C11" s="376" t="s">
        <v>112</v>
      </c>
      <c r="D11" s="376" t="s">
        <v>300</v>
      </c>
      <c r="E11" s="377">
        <v>2</v>
      </c>
      <c r="F11" s="377"/>
      <c r="G11" s="377">
        <v>1</v>
      </c>
      <c r="H11" s="377"/>
      <c r="I11" s="377" t="s">
        <v>81</v>
      </c>
      <c r="J11" s="377">
        <v>4</v>
      </c>
      <c r="K11" s="377"/>
      <c r="L11" s="377"/>
      <c r="M11" s="377"/>
      <c r="N11" s="377"/>
      <c r="O11" s="377"/>
      <c r="P11" s="376"/>
      <c r="Q11" s="82"/>
      <c r="R11" s="366">
        <f t="shared" si="1"/>
        <v>58</v>
      </c>
      <c r="S11">
        <f t="shared" si="0"/>
        <v>42</v>
      </c>
      <c r="U11">
        <f t="shared" si="2"/>
        <v>0</v>
      </c>
      <c r="V11">
        <f t="shared" si="3"/>
        <v>42</v>
      </c>
      <c r="W11">
        <f t="shared" si="4"/>
        <v>0</v>
      </c>
      <c r="X11">
        <f t="shared" si="5"/>
        <v>0</v>
      </c>
      <c r="Z11">
        <f t="shared" si="6"/>
        <v>1</v>
      </c>
      <c r="AA11">
        <f t="shared" si="7"/>
        <v>0</v>
      </c>
      <c r="AB11">
        <f t="shared" si="8"/>
        <v>0</v>
      </c>
      <c r="AC11">
        <f t="shared" si="9"/>
        <v>0</v>
      </c>
      <c r="AE11">
        <f t="shared" si="10"/>
        <v>4</v>
      </c>
      <c r="AF11">
        <f t="shared" si="11"/>
        <v>0</v>
      </c>
      <c r="AG11">
        <f t="shared" si="12"/>
        <v>4</v>
      </c>
      <c r="AH11">
        <f t="shared" si="13"/>
        <v>0</v>
      </c>
      <c r="AI11">
        <f t="shared" si="14"/>
        <v>0</v>
      </c>
      <c r="AK11">
        <f t="shared" si="15"/>
        <v>0</v>
      </c>
      <c r="AL11">
        <f t="shared" si="16"/>
        <v>0</v>
      </c>
      <c r="AM11">
        <f t="shared" si="17"/>
        <v>0</v>
      </c>
    </row>
    <row r="12" spans="1:39" ht="12.75">
      <c r="A12" s="374">
        <v>8</v>
      </c>
      <c r="B12" s="380" t="s">
        <v>116</v>
      </c>
      <c r="C12" s="376" t="s">
        <v>112</v>
      </c>
      <c r="D12" s="376" t="s">
        <v>300</v>
      </c>
      <c r="E12" s="377"/>
      <c r="F12" s="377"/>
      <c r="G12" s="377"/>
      <c r="H12" s="377"/>
      <c r="I12" s="377"/>
      <c r="J12" s="377"/>
      <c r="K12" s="377">
        <v>2</v>
      </c>
      <c r="L12" s="377"/>
      <c r="M12" s="377">
        <v>1</v>
      </c>
      <c r="N12" s="377"/>
      <c r="O12" s="377" t="s">
        <v>81</v>
      </c>
      <c r="P12" s="376">
        <v>3</v>
      </c>
      <c r="Q12" s="82"/>
      <c r="R12" s="366">
        <f t="shared" si="1"/>
        <v>33</v>
      </c>
      <c r="S12">
        <f t="shared" si="0"/>
        <v>42</v>
      </c>
      <c r="U12">
        <f t="shared" si="2"/>
        <v>0</v>
      </c>
      <c r="V12">
        <f t="shared" si="3"/>
        <v>42</v>
      </c>
      <c r="W12">
        <f t="shared" si="4"/>
        <v>0</v>
      </c>
      <c r="X12">
        <f t="shared" si="5"/>
        <v>0</v>
      </c>
      <c r="Z12">
        <f t="shared" si="6"/>
        <v>0</v>
      </c>
      <c r="AA12">
        <f t="shared" si="7"/>
        <v>0</v>
      </c>
      <c r="AB12">
        <f t="shared" si="8"/>
        <v>1</v>
      </c>
      <c r="AC12">
        <f t="shared" si="9"/>
        <v>0</v>
      </c>
      <c r="AE12">
        <f t="shared" si="10"/>
        <v>3</v>
      </c>
      <c r="AF12">
        <f t="shared" si="11"/>
        <v>0</v>
      </c>
      <c r="AG12">
        <f t="shared" si="12"/>
        <v>3</v>
      </c>
      <c r="AH12">
        <f t="shared" si="13"/>
        <v>0</v>
      </c>
      <c r="AI12">
        <f t="shared" si="14"/>
        <v>0</v>
      </c>
      <c r="AK12">
        <f t="shared" si="15"/>
        <v>0</v>
      </c>
      <c r="AL12">
        <f t="shared" si="16"/>
        <v>0</v>
      </c>
      <c r="AM12">
        <f t="shared" si="17"/>
        <v>0</v>
      </c>
    </row>
    <row r="13" spans="1:39" ht="12.75">
      <c r="A13" s="374">
        <v>9</v>
      </c>
      <c r="B13" s="380" t="s">
        <v>116</v>
      </c>
      <c r="C13" s="376" t="s">
        <v>112</v>
      </c>
      <c r="D13" s="376" t="s">
        <v>300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>
        <v>2</v>
      </c>
      <c r="O13" s="377" t="s">
        <v>9</v>
      </c>
      <c r="P13" s="376">
        <v>2</v>
      </c>
      <c r="Q13" s="82"/>
      <c r="R13" s="366">
        <f t="shared" si="1"/>
        <v>22</v>
      </c>
      <c r="S13">
        <f t="shared" si="0"/>
        <v>28</v>
      </c>
      <c r="U13">
        <f t="shared" si="2"/>
        <v>0</v>
      </c>
      <c r="V13">
        <f t="shared" si="3"/>
        <v>28</v>
      </c>
      <c r="W13">
        <f t="shared" si="4"/>
        <v>0</v>
      </c>
      <c r="X13">
        <f t="shared" si="5"/>
        <v>0</v>
      </c>
      <c r="Z13">
        <f t="shared" si="6"/>
        <v>0</v>
      </c>
      <c r="AA13">
        <f t="shared" si="7"/>
        <v>0</v>
      </c>
      <c r="AB13">
        <f t="shared" si="8"/>
        <v>0</v>
      </c>
      <c r="AC13">
        <f t="shared" si="9"/>
        <v>1</v>
      </c>
      <c r="AE13">
        <f t="shared" si="10"/>
        <v>2</v>
      </c>
      <c r="AF13">
        <f t="shared" si="11"/>
        <v>0</v>
      </c>
      <c r="AG13">
        <f t="shared" si="12"/>
        <v>2</v>
      </c>
      <c r="AH13">
        <f t="shared" si="13"/>
        <v>0</v>
      </c>
      <c r="AI13">
        <f t="shared" si="14"/>
        <v>0</v>
      </c>
      <c r="AK13">
        <f t="shared" si="15"/>
        <v>1</v>
      </c>
      <c r="AL13">
        <f t="shared" si="16"/>
        <v>0</v>
      </c>
      <c r="AM13">
        <f t="shared" si="17"/>
        <v>1</v>
      </c>
    </row>
    <row r="14" spans="1:39" s="82" customFormat="1" ht="14.25" customHeight="1">
      <c r="A14" s="374">
        <v>10</v>
      </c>
      <c r="B14" s="380" t="s">
        <v>122</v>
      </c>
      <c r="C14" s="376" t="s">
        <v>112</v>
      </c>
      <c r="D14" s="376" t="s">
        <v>300</v>
      </c>
      <c r="E14" s="377"/>
      <c r="F14" s="377"/>
      <c r="G14" s="377"/>
      <c r="H14" s="377"/>
      <c r="I14" s="377"/>
      <c r="J14" s="377"/>
      <c r="K14" s="377">
        <v>2</v>
      </c>
      <c r="L14" s="377"/>
      <c r="M14" s="377">
        <v>1</v>
      </c>
      <c r="N14" s="377"/>
      <c r="O14" s="377" t="s">
        <v>81</v>
      </c>
      <c r="P14" s="376">
        <v>3</v>
      </c>
      <c r="R14" s="366">
        <f t="shared" si="1"/>
        <v>33</v>
      </c>
      <c r="S14">
        <f t="shared" si="0"/>
        <v>42</v>
      </c>
      <c r="U14">
        <f t="shared" si="2"/>
        <v>0</v>
      </c>
      <c r="V14">
        <f t="shared" si="3"/>
        <v>42</v>
      </c>
      <c r="W14">
        <f t="shared" si="4"/>
        <v>0</v>
      </c>
      <c r="X14">
        <f t="shared" si="5"/>
        <v>0</v>
      </c>
      <c r="Z14" s="82">
        <f t="shared" si="6"/>
        <v>0</v>
      </c>
      <c r="AA14" s="82">
        <f t="shared" si="7"/>
        <v>0</v>
      </c>
      <c r="AB14" s="82">
        <f t="shared" si="8"/>
        <v>1</v>
      </c>
      <c r="AC14" s="82">
        <f t="shared" si="9"/>
        <v>0</v>
      </c>
      <c r="AE14" s="82">
        <f t="shared" si="10"/>
        <v>3</v>
      </c>
      <c r="AF14" s="82">
        <f t="shared" si="11"/>
        <v>0</v>
      </c>
      <c r="AG14" s="82">
        <f t="shared" si="12"/>
        <v>3</v>
      </c>
      <c r="AH14" s="82">
        <f t="shared" si="13"/>
        <v>0</v>
      </c>
      <c r="AI14" s="82">
        <f t="shared" si="14"/>
        <v>0</v>
      </c>
      <c r="AK14" s="82">
        <f t="shared" si="15"/>
        <v>0</v>
      </c>
      <c r="AL14" s="82">
        <f t="shared" si="16"/>
        <v>0</v>
      </c>
      <c r="AM14" s="82">
        <f t="shared" si="17"/>
        <v>0</v>
      </c>
    </row>
    <row r="15" spans="1:39" ht="12.75">
      <c r="A15" s="374">
        <v>11</v>
      </c>
      <c r="B15" s="380" t="s">
        <v>117</v>
      </c>
      <c r="C15" s="376" t="s">
        <v>112</v>
      </c>
      <c r="D15" s="376" t="s">
        <v>300</v>
      </c>
      <c r="E15" s="377"/>
      <c r="F15" s="377"/>
      <c r="G15" s="377"/>
      <c r="H15" s="377"/>
      <c r="I15" s="377"/>
      <c r="J15" s="377"/>
      <c r="K15" s="377">
        <v>2</v>
      </c>
      <c r="L15" s="377"/>
      <c r="M15" s="377">
        <v>1</v>
      </c>
      <c r="N15" s="377"/>
      <c r="O15" s="377" t="s">
        <v>81</v>
      </c>
      <c r="P15" s="376">
        <v>3</v>
      </c>
      <c r="Q15" s="82"/>
      <c r="R15" s="366">
        <f t="shared" si="1"/>
        <v>33</v>
      </c>
      <c r="S15">
        <f t="shared" si="0"/>
        <v>42</v>
      </c>
      <c r="U15">
        <f t="shared" si="2"/>
        <v>0</v>
      </c>
      <c r="V15">
        <f t="shared" si="3"/>
        <v>42</v>
      </c>
      <c r="W15">
        <f t="shared" si="4"/>
        <v>0</v>
      </c>
      <c r="X15">
        <f t="shared" si="5"/>
        <v>0</v>
      </c>
      <c r="Z15">
        <f t="shared" si="6"/>
        <v>0</v>
      </c>
      <c r="AA15">
        <f t="shared" si="7"/>
        <v>0</v>
      </c>
      <c r="AB15">
        <f t="shared" si="8"/>
        <v>1</v>
      </c>
      <c r="AC15">
        <f t="shared" si="9"/>
        <v>0</v>
      </c>
      <c r="AE15">
        <f t="shared" si="10"/>
        <v>3</v>
      </c>
      <c r="AF15">
        <f t="shared" si="11"/>
        <v>0</v>
      </c>
      <c r="AG15">
        <f t="shared" si="12"/>
        <v>3</v>
      </c>
      <c r="AH15">
        <f t="shared" si="13"/>
        <v>0</v>
      </c>
      <c r="AI15">
        <f t="shared" si="14"/>
        <v>0</v>
      </c>
      <c r="AK15">
        <f t="shared" si="15"/>
        <v>0</v>
      </c>
      <c r="AL15">
        <f t="shared" si="16"/>
        <v>0</v>
      </c>
      <c r="AM15">
        <f t="shared" si="17"/>
        <v>0</v>
      </c>
    </row>
    <row r="16" spans="1:39" ht="13.5" customHeight="1">
      <c r="A16" s="374">
        <v>12</v>
      </c>
      <c r="B16" s="380" t="s">
        <v>277</v>
      </c>
      <c r="C16" s="376" t="s">
        <v>112</v>
      </c>
      <c r="D16" s="376" t="s">
        <v>300</v>
      </c>
      <c r="E16" s="377"/>
      <c r="F16" s="377"/>
      <c r="G16" s="377"/>
      <c r="H16" s="377"/>
      <c r="I16" s="377"/>
      <c r="J16" s="377"/>
      <c r="K16" s="377">
        <v>2</v>
      </c>
      <c r="L16" s="377"/>
      <c r="M16" s="377">
        <v>1</v>
      </c>
      <c r="N16" s="377"/>
      <c r="O16" s="377" t="s">
        <v>81</v>
      </c>
      <c r="P16" s="376">
        <v>3</v>
      </c>
      <c r="Q16" s="82"/>
      <c r="R16" s="366">
        <f t="shared" si="1"/>
        <v>33</v>
      </c>
      <c r="S16">
        <f t="shared" si="0"/>
        <v>42</v>
      </c>
      <c r="U16">
        <f t="shared" si="2"/>
        <v>0</v>
      </c>
      <c r="V16">
        <f t="shared" si="3"/>
        <v>42</v>
      </c>
      <c r="W16">
        <f t="shared" si="4"/>
        <v>0</v>
      </c>
      <c r="X16">
        <f t="shared" si="5"/>
        <v>0</v>
      </c>
      <c r="Z16">
        <f t="shared" si="6"/>
        <v>0</v>
      </c>
      <c r="AA16">
        <f t="shared" si="7"/>
        <v>0</v>
      </c>
      <c r="AB16">
        <f t="shared" si="8"/>
        <v>1</v>
      </c>
      <c r="AC16">
        <f t="shared" si="9"/>
        <v>0</v>
      </c>
      <c r="AE16">
        <f t="shared" si="10"/>
        <v>3</v>
      </c>
      <c r="AF16">
        <f t="shared" si="11"/>
        <v>0</v>
      </c>
      <c r="AG16">
        <f t="shared" si="12"/>
        <v>3</v>
      </c>
      <c r="AH16">
        <f t="shared" si="13"/>
        <v>0</v>
      </c>
      <c r="AI16">
        <f t="shared" si="14"/>
        <v>0</v>
      </c>
      <c r="AK16">
        <f t="shared" si="15"/>
        <v>0</v>
      </c>
      <c r="AL16">
        <f t="shared" si="16"/>
        <v>0</v>
      </c>
      <c r="AM16">
        <f t="shared" si="17"/>
        <v>0</v>
      </c>
    </row>
    <row r="17" spans="1:39" ht="12.75">
      <c r="A17" s="374">
        <v>13</v>
      </c>
      <c r="B17" s="401" t="s">
        <v>315</v>
      </c>
      <c r="C17" s="376" t="s">
        <v>88</v>
      </c>
      <c r="D17" s="376" t="s">
        <v>300</v>
      </c>
      <c r="E17" s="377"/>
      <c r="F17" s="377"/>
      <c r="G17" s="377"/>
      <c r="H17" s="377"/>
      <c r="I17" s="377"/>
      <c r="J17" s="377"/>
      <c r="K17" s="377">
        <v>2</v>
      </c>
      <c r="L17" s="377"/>
      <c r="M17" s="377">
        <v>1</v>
      </c>
      <c r="N17" s="377"/>
      <c r="O17" s="377" t="s">
        <v>9</v>
      </c>
      <c r="P17" s="376">
        <v>3</v>
      </c>
      <c r="R17" s="366">
        <f t="shared" si="1"/>
        <v>33</v>
      </c>
      <c r="S17">
        <f t="shared" si="0"/>
        <v>42</v>
      </c>
      <c r="U17">
        <f t="shared" si="2"/>
        <v>0</v>
      </c>
      <c r="V17">
        <f t="shared" si="3"/>
        <v>0</v>
      </c>
      <c r="W17">
        <f t="shared" si="4"/>
        <v>42</v>
      </c>
      <c r="X17">
        <f t="shared" si="5"/>
        <v>0</v>
      </c>
      <c r="Z17">
        <f t="shared" si="6"/>
        <v>0</v>
      </c>
      <c r="AA17">
        <f t="shared" si="7"/>
        <v>0</v>
      </c>
      <c r="AB17">
        <f t="shared" si="8"/>
        <v>0</v>
      </c>
      <c r="AC17">
        <f t="shared" si="9"/>
        <v>1</v>
      </c>
      <c r="AE17">
        <f t="shared" si="10"/>
        <v>3</v>
      </c>
      <c r="AF17">
        <f t="shared" si="11"/>
        <v>0</v>
      </c>
      <c r="AG17">
        <f t="shared" si="12"/>
        <v>0</v>
      </c>
      <c r="AH17">
        <f t="shared" si="13"/>
        <v>3</v>
      </c>
      <c r="AI17">
        <f t="shared" si="14"/>
        <v>0</v>
      </c>
      <c r="AK17">
        <f t="shared" si="15"/>
        <v>0</v>
      </c>
      <c r="AL17">
        <f t="shared" si="16"/>
        <v>0</v>
      </c>
      <c r="AM17">
        <f t="shared" si="17"/>
        <v>0</v>
      </c>
    </row>
    <row r="18" spans="1:39" ht="12.75">
      <c r="A18" s="374">
        <v>14</v>
      </c>
      <c r="B18" s="380" t="s">
        <v>119</v>
      </c>
      <c r="C18" s="376" t="s">
        <v>112</v>
      </c>
      <c r="D18" s="376" t="s">
        <v>300</v>
      </c>
      <c r="E18" s="377"/>
      <c r="F18" s="377"/>
      <c r="G18" s="377"/>
      <c r="H18" s="377"/>
      <c r="I18" s="377"/>
      <c r="J18" s="377"/>
      <c r="K18" s="377">
        <v>2</v>
      </c>
      <c r="L18" s="377"/>
      <c r="M18" s="377">
        <v>1</v>
      </c>
      <c r="N18" s="377"/>
      <c r="O18" s="377" t="s">
        <v>9</v>
      </c>
      <c r="P18" s="376">
        <v>3</v>
      </c>
      <c r="R18" s="366">
        <f t="shared" si="1"/>
        <v>33</v>
      </c>
      <c r="S18">
        <f t="shared" si="0"/>
        <v>42</v>
      </c>
      <c r="U18">
        <f t="shared" si="2"/>
        <v>0</v>
      </c>
      <c r="V18">
        <f t="shared" si="3"/>
        <v>42</v>
      </c>
      <c r="W18">
        <f t="shared" si="4"/>
        <v>0</v>
      </c>
      <c r="X18">
        <f t="shared" si="5"/>
        <v>0</v>
      </c>
      <c r="Z18">
        <f t="shared" si="6"/>
        <v>0</v>
      </c>
      <c r="AA18">
        <f t="shared" si="7"/>
        <v>0</v>
      </c>
      <c r="AB18">
        <f t="shared" si="8"/>
        <v>0</v>
      </c>
      <c r="AC18">
        <f t="shared" si="9"/>
        <v>1</v>
      </c>
      <c r="AE18">
        <f t="shared" si="10"/>
        <v>3</v>
      </c>
      <c r="AF18">
        <f t="shared" si="11"/>
        <v>0</v>
      </c>
      <c r="AG18">
        <f t="shared" si="12"/>
        <v>3</v>
      </c>
      <c r="AH18">
        <f t="shared" si="13"/>
        <v>0</v>
      </c>
      <c r="AI18">
        <f t="shared" si="14"/>
        <v>0</v>
      </c>
      <c r="AK18">
        <f t="shared" si="15"/>
        <v>0</v>
      </c>
      <c r="AL18">
        <f t="shared" si="16"/>
        <v>0</v>
      </c>
      <c r="AM18">
        <f t="shared" si="17"/>
        <v>0</v>
      </c>
    </row>
    <row r="19" spans="1:35" ht="12.75">
      <c r="A19" s="374">
        <v>15</v>
      </c>
      <c r="B19" s="380" t="s">
        <v>270</v>
      </c>
      <c r="C19" s="376" t="s">
        <v>85</v>
      </c>
      <c r="D19" s="376" t="s">
        <v>300</v>
      </c>
      <c r="E19" s="377"/>
      <c r="F19" s="377"/>
      <c r="G19" s="377"/>
      <c r="H19" s="377"/>
      <c r="I19" s="377"/>
      <c r="J19" s="377"/>
      <c r="K19" s="377"/>
      <c r="L19" s="377">
        <v>2</v>
      </c>
      <c r="M19" s="377"/>
      <c r="N19" s="377"/>
      <c r="O19" s="377" t="s">
        <v>9</v>
      </c>
      <c r="P19" s="376">
        <v>2</v>
      </c>
      <c r="R19" s="366">
        <f t="shared" si="1"/>
        <v>22</v>
      </c>
      <c r="S19">
        <f t="shared" si="0"/>
        <v>28</v>
      </c>
      <c r="U19">
        <f t="shared" si="2"/>
        <v>0</v>
      </c>
      <c r="V19">
        <f t="shared" si="3"/>
        <v>0</v>
      </c>
      <c r="W19">
        <f t="shared" si="4"/>
        <v>0</v>
      </c>
      <c r="X19">
        <f t="shared" si="5"/>
        <v>28</v>
      </c>
      <c r="AB19">
        <f t="shared" si="8"/>
        <v>0</v>
      </c>
      <c r="AC19">
        <f t="shared" si="9"/>
        <v>1</v>
      </c>
      <c r="AE19">
        <f t="shared" si="10"/>
        <v>2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2</v>
      </c>
    </row>
    <row r="20" spans="1:39" ht="15" customHeight="1">
      <c r="A20" s="374">
        <v>16</v>
      </c>
      <c r="B20" s="380" t="s">
        <v>316</v>
      </c>
      <c r="C20" s="376" t="s">
        <v>88</v>
      </c>
      <c r="D20" s="376" t="s">
        <v>300</v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 t="s">
        <v>9</v>
      </c>
      <c r="P20" s="376">
        <v>4</v>
      </c>
      <c r="Q20" s="82"/>
      <c r="R20" s="399">
        <f t="shared" si="1"/>
        <v>10</v>
      </c>
      <c r="S20" s="399">
        <f>3*30</f>
        <v>90</v>
      </c>
      <c r="U20">
        <f t="shared" si="2"/>
        <v>0</v>
      </c>
      <c r="V20">
        <f t="shared" si="3"/>
        <v>0</v>
      </c>
      <c r="W20">
        <f t="shared" si="4"/>
        <v>90</v>
      </c>
      <c r="X20">
        <f t="shared" si="5"/>
        <v>0</v>
      </c>
      <c r="Z20">
        <f>IF(I20="E",1,0)</f>
        <v>0</v>
      </c>
      <c r="AA20">
        <f>IF(I20="C",1,0)</f>
        <v>0</v>
      </c>
      <c r="AB20">
        <f>IF(O20="E",1,0)</f>
        <v>0</v>
      </c>
      <c r="AC20">
        <f>IF(O20="C",1,0)</f>
        <v>1</v>
      </c>
      <c r="AE20">
        <f>J20+P20</f>
        <v>4</v>
      </c>
      <c r="AF20">
        <f t="shared" si="11"/>
        <v>0</v>
      </c>
      <c r="AG20">
        <f t="shared" si="12"/>
        <v>0</v>
      </c>
      <c r="AH20">
        <f t="shared" si="13"/>
        <v>4</v>
      </c>
      <c r="AI20">
        <f t="shared" si="14"/>
        <v>0</v>
      </c>
      <c r="AK20">
        <f>AL20+AM20</f>
        <v>0</v>
      </c>
      <c r="AL20">
        <f>IF(H20&gt;0,1,0)</f>
        <v>0</v>
      </c>
      <c r="AM20">
        <f>IF(N20&gt;0,1,0)</f>
        <v>0</v>
      </c>
    </row>
    <row r="21" spans="1:39" ht="14.25" customHeight="1">
      <c r="A21" s="391">
        <v>17</v>
      </c>
      <c r="B21" s="406"/>
      <c r="C21" s="386"/>
      <c r="D21" s="386"/>
      <c r="E21" s="386"/>
      <c r="F21" s="386"/>
      <c r="G21" s="386"/>
      <c r="H21" s="386"/>
      <c r="I21" s="386"/>
      <c r="J21" s="386"/>
      <c r="K21" s="376"/>
      <c r="L21" s="376"/>
      <c r="M21" s="376"/>
      <c r="N21" s="376"/>
      <c r="O21" s="376"/>
      <c r="P21" s="376"/>
      <c r="Q21" s="82"/>
      <c r="R21" s="366">
        <f>(J21+P21)*$R$1-S21</f>
        <v>0</v>
      </c>
      <c r="S21">
        <f t="shared" si="0"/>
        <v>0</v>
      </c>
      <c r="U21">
        <f t="shared" si="2"/>
        <v>0</v>
      </c>
      <c r="V21">
        <f t="shared" si="3"/>
        <v>0</v>
      </c>
      <c r="W21">
        <f t="shared" si="4"/>
        <v>0</v>
      </c>
      <c r="X21">
        <f t="shared" si="5"/>
        <v>0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K21">
        <f t="shared" si="15"/>
        <v>0</v>
      </c>
      <c r="AL21">
        <f t="shared" si="16"/>
        <v>0</v>
      </c>
      <c r="AM21">
        <f t="shared" si="17"/>
        <v>0</v>
      </c>
    </row>
    <row r="22" spans="1:39" ht="12.75">
      <c r="A22" s="391">
        <v>18</v>
      </c>
      <c r="B22" s="406"/>
      <c r="C22" s="386"/>
      <c r="D22" s="386"/>
      <c r="E22" s="386"/>
      <c r="F22" s="386"/>
      <c r="G22" s="386"/>
      <c r="H22" s="386"/>
      <c r="I22" s="386"/>
      <c r="J22" s="386"/>
      <c r="K22" s="376"/>
      <c r="L22" s="376"/>
      <c r="M22" s="376"/>
      <c r="N22" s="376"/>
      <c r="O22" s="376"/>
      <c r="P22" s="376"/>
      <c r="R22" s="366">
        <f>(J22+P22)*$R$1-S22</f>
        <v>0</v>
      </c>
      <c r="S22">
        <f t="shared" si="0"/>
        <v>0</v>
      </c>
      <c r="U22">
        <f t="shared" si="2"/>
        <v>0</v>
      </c>
      <c r="V22">
        <f t="shared" si="3"/>
        <v>0</v>
      </c>
      <c r="W22">
        <f t="shared" si="4"/>
        <v>0</v>
      </c>
      <c r="X22">
        <f t="shared" si="5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K22">
        <f t="shared" si="15"/>
        <v>0</v>
      </c>
      <c r="AL22">
        <f t="shared" si="16"/>
        <v>0</v>
      </c>
      <c r="AM22">
        <f t="shared" si="17"/>
        <v>0</v>
      </c>
    </row>
    <row r="23" spans="1:39" ht="12.75">
      <c r="A23" s="391">
        <v>19</v>
      </c>
      <c r="B23" s="380"/>
      <c r="C23" s="376"/>
      <c r="D23" s="386"/>
      <c r="E23" s="386"/>
      <c r="F23" s="386"/>
      <c r="G23" s="386"/>
      <c r="H23" s="386"/>
      <c r="I23" s="386"/>
      <c r="J23" s="386"/>
      <c r="K23" s="376"/>
      <c r="L23" s="376"/>
      <c r="M23" s="376"/>
      <c r="N23" s="376"/>
      <c r="O23" s="376"/>
      <c r="P23" s="376"/>
      <c r="R23" s="366">
        <f>(J23+P23)*$R$1-S23</f>
        <v>0</v>
      </c>
      <c r="S23">
        <f t="shared" si="0"/>
        <v>0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K23">
        <f t="shared" si="15"/>
        <v>0</v>
      </c>
      <c r="AL23">
        <f t="shared" si="16"/>
        <v>0</v>
      </c>
      <c r="AM23">
        <f t="shared" si="17"/>
        <v>0</v>
      </c>
    </row>
    <row r="24" spans="1:39" ht="12.75">
      <c r="A24" s="391">
        <v>20</v>
      </c>
      <c r="B24" s="374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82"/>
      <c r="R24" s="366">
        <f>(J24+P24)*$R$1-S24</f>
        <v>0</v>
      </c>
      <c r="S24" s="82"/>
      <c r="U24">
        <f t="shared" si="2"/>
        <v>0</v>
      </c>
      <c r="V24">
        <f t="shared" si="3"/>
        <v>0</v>
      </c>
      <c r="W24">
        <f t="shared" si="4"/>
        <v>0</v>
      </c>
      <c r="X24">
        <f t="shared" si="5"/>
        <v>0</v>
      </c>
      <c r="Z24">
        <f t="shared" si="6"/>
        <v>0</v>
      </c>
      <c r="AA24">
        <f t="shared" si="7"/>
        <v>0</v>
      </c>
      <c r="AB24">
        <f t="shared" si="8"/>
        <v>0</v>
      </c>
      <c r="AC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K24">
        <f t="shared" si="15"/>
        <v>0</v>
      </c>
      <c r="AL24">
        <f t="shared" si="16"/>
        <v>0</v>
      </c>
      <c r="AM24">
        <f t="shared" si="17"/>
        <v>0</v>
      </c>
    </row>
    <row r="25" spans="2:18" ht="12.75">
      <c r="B25" s="387" t="s">
        <v>304</v>
      </c>
      <c r="D25" s="369"/>
      <c r="E25">
        <f>SUM(E5:E24)</f>
        <v>12</v>
      </c>
      <c r="F25">
        <f>SUM(F5:F24)</f>
        <v>2</v>
      </c>
      <c r="G25">
        <f>SUM(G5:G24)</f>
        <v>6</v>
      </c>
      <c r="H25">
        <f>SUM(H5:H24)</f>
        <v>3</v>
      </c>
      <c r="I25" s="388">
        <f>Z26</f>
        <v>3</v>
      </c>
      <c r="J25" s="369">
        <f>SUM(J5:J24)</f>
        <v>26</v>
      </c>
      <c r="K25">
        <f>SUM(K5:K24)</f>
        <v>12</v>
      </c>
      <c r="L25">
        <f>SUM(L5:L24)</f>
        <v>2</v>
      </c>
      <c r="M25">
        <f>SUM(M5:M24)</f>
        <v>6</v>
      </c>
      <c r="N25">
        <f>SUM(N5:N24)</f>
        <v>2</v>
      </c>
      <c r="O25" s="388">
        <f>AB26</f>
        <v>4</v>
      </c>
      <c r="P25" s="369">
        <f>SUM(P5:P24)</f>
        <v>26</v>
      </c>
      <c r="R25" s="366"/>
    </row>
    <row r="26" spans="2:29" ht="12.75">
      <c r="B26" s="387"/>
      <c r="D26" s="369"/>
      <c r="E26">
        <f>E25+F25+G25+H25</f>
        <v>23</v>
      </c>
      <c r="I26" s="388">
        <f>AA26</f>
        <v>4</v>
      </c>
      <c r="J26" s="369"/>
      <c r="K26">
        <f>K25+L25+M25+N25</f>
        <v>22</v>
      </c>
      <c r="O26" s="388">
        <f>AC26</f>
        <v>5</v>
      </c>
      <c r="P26" s="369"/>
      <c r="R26" s="366">
        <f>SUM(R5:R24)</f>
        <v>580</v>
      </c>
      <c r="S26">
        <f>SUM(S5:S24)</f>
        <v>720</v>
      </c>
      <c r="Z26">
        <f>SUM(Z5:Z24)</f>
        <v>3</v>
      </c>
      <c r="AA26">
        <f>SUM(AA5:AA24)</f>
        <v>4</v>
      </c>
      <c r="AB26">
        <f>SUM(AB5:AB24)</f>
        <v>4</v>
      </c>
      <c r="AC26">
        <f>SUM(AC5:AC24)</f>
        <v>5</v>
      </c>
    </row>
    <row r="27" spans="2:18" ht="12.75">
      <c r="B27" s="387"/>
      <c r="D27" s="17"/>
      <c r="I27" s="389" t="s">
        <v>305</v>
      </c>
      <c r="J27" s="17"/>
      <c r="O27" s="389" t="s">
        <v>305</v>
      </c>
      <c r="P27" s="17"/>
      <c r="R27" s="366"/>
    </row>
    <row r="28" ht="12.75">
      <c r="R28" s="366"/>
    </row>
    <row r="29" spans="1:18" ht="12.75">
      <c r="A29" s="372" t="s">
        <v>293</v>
      </c>
      <c r="B29" s="372" t="s">
        <v>13</v>
      </c>
      <c r="C29" s="372" t="s">
        <v>294</v>
      </c>
      <c r="D29" s="373" t="s">
        <v>295</v>
      </c>
      <c r="E29" s="372" t="s">
        <v>9</v>
      </c>
      <c r="F29" s="372" t="s">
        <v>10</v>
      </c>
      <c r="G29" s="372" t="s">
        <v>11</v>
      </c>
      <c r="H29" s="372" t="s">
        <v>12</v>
      </c>
      <c r="I29" s="372" t="s">
        <v>296</v>
      </c>
      <c r="J29" s="373" t="s">
        <v>297</v>
      </c>
      <c r="K29" s="372" t="s">
        <v>9</v>
      </c>
      <c r="L29" s="372" t="s">
        <v>10</v>
      </c>
      <c r="M29" s="372" t="s">
        <v>11</v>
      </c>
      <c r="N29" s="372" t="s">
        <v>12</v>
      </c>
      <c r="O29" s="372" t="s">
        <v>296</v>
      </c>
      <c r="P29" s="373" t="s">
        <v>297</v>
      </c>
      <c r="R29" s="366"/>
    </row>
    <row r="30" spans="1:39" ht="28.5" customHeight="1">
      <c r="A30" s="374">
        <v>1</v>
      </c>
      <c r="B30" s="380" t="s">
        <v>317</v>
      </c>
      <c r="C30" s="376" t="s">
        <v>88</v>
      </c>
      <c r="D30" s="376" t="s">
        <v>318</v>
      </c>
      <c r="E30" s="376">
        <v>2</v>
      </c>
      <c r="F30" s="376"/>
      <c r="G30" s="377">
        <v>1</v>
      </c>
      <c r="H30" s="376"/>
      <c r="I30" s="376" t="s">
        <v>81</v>
      </c>
      <c r="J30" s="376">
        <v>4</v>
      </c>
      <c r="K30" s="376"/>
      <c r="L30" s="376"/>
      <c r="M30" s="376"/>
      <c r="N30" s="376"/>
      <c r="O30" s="376"/>
      <c r="P30" s="376"/>
      <c r="R30" s="366">
        <f>(J30+P30)*$R$1-S30</f>
        <v>58</v>
      </c>
      <c r="S30">
        <f aca="true" t="shared" si="18" ref="S30:S39">SUM(E30:H30)*14+SUM(K30:N30)*14</f>
        <v>42</v>
      </c>
      <c r="U30">
        <f aca="true" t="shared" si="19" ref="U30:U39">IF($C30="DF",1,0)*$S30</f>
        <v>0</v>
      </c>
      <c r="V30">
        <f aca="true" t="shared" si="20" ref="V30:V39">IF($C30="DD",1,0)*$S30</f>
        <v>0</v>
      </c>
      <c r="W30">
        <f aca="true" t="shared" si="21" ref="W30:W39">IF($C30="DS",1,0)*$S30</f>
        <v>42</v>
      </c>
      <c r="X30">
        <f aca="true" t="shared" si="22" ref="X30:X39">IF($C30="DC",1,0)*$S30</f>
        <v>0</v>
      </c>
      <c r="Z30">
        <f aca="true" t="shared" si="23" ref="Z30:Z39">IF(I30="E",1,0)</f>
        <v>1</v>
      </c>
      <c r="AA30">
        <f aca="true" t="shared" si="24" ref="AA30:AA39">IF(I30="C",1,0)</f>
        <v>0</v>
      </c>
      <c r="AB30">
        <f aca="true" t="shared" si="25" ref="AB30:AB39">IF(O30="E",1,0)</f>
        <v>0</v>
      </c>
      <c r="AC30">
        <f aca="true" t="shared" si="26" ref="AC30:AC39">IF(O30="C",1,0)</f>
        <v>0</v>
      </c>
      <c r="AE30">
        <f aca="true" t="shared" si="27" ref="AE30:AE39">J30+P30</f>
        <v>4</v>
      </c>
      <c r="AF30">
        <f aca="true" t="shared" si="28" ref="AF30:AF39">IF($C30="DF",1,0)*$AE30</f>
        <v>0</v>
      </c>
      <c r="AG30">
        <f aca="true" t="shared" si="29" ref="AG30:AG39">IF($C30="DD",1,0)*$AE30</f>
        <v>0</v>
      </c>
      <c r="AH30">
        <f aca="true" t="shared" si="30" ref="AH30:AH39">IF($C30="DS",1,0)*$AE30</f>
        <v>4</v>
      </c>
      <c r="AI30">
        <f aca="true" t="shared" si="31" ref="AI30:AI39">IF($C30="DC",1,0)*$AE30</f>
        <v>0</v>
      </c>
      <c r="AK30">
        <f aca="true" t="shared" si="32" ref="AK30:AK39">AL30+AM30</f>
        <v>0</v>
      </c>
      <c r="AL30">
        <f aca="true" t="shared" si="33" ref="AL30:AL39">IF(H30&gt;0,1,0)</f>
        <v>0</v>
      </c>
      <c r="AM30">
        <f aca="true" t="shared" si="34" ref="AM30:AM39">IF(N30&gt;0,1,0)</f>
        <v>0</v>
      </c>
    </row>
    <row r="31" spans="1:39" ht="26.25">
      <c r="A31" s="374">
        <v>2</v>
      </c>
      <c r="B31" s="407" t="s">
        <v>319</v>
      </c>
      <c r="C31" s="376" t="s">
        <v>88</v>
      </c>
      <c r="D31" s="376" t="s">
        <v>318</v>
      </c>
      <c r="E31" s="376"/>
      <c r="F31" s="376"/>
      <c r="G31" s="376"/>
      <c r="H31" s="376"/>
      <c r="I31" s="376"/>
      <c r="J31" s="376"/>
      <c r="K31" s="376">
        <v>2</v>
      </c>
      <c r="L31" s="376"/>
      <c r="M31" s="376">
        <v>1</v>
      </c>
      <c r="N31" s="376">
        <v>1</v>
      </c>
      <c r="O31" s="376" t="s">
        <v>81</v>
      </c>
      <c r="P31" s="376">
        <v>4</v>
      </c>
      <c r="R31" s="366">
        <f>(J31+P31)*$R$1-S31</f>
        <v>44</v>
      </c>
      <c r="S31">
        <f t="shared" si="18"/>
        <v>56</v>
      </c>
      <c r="U31">
        <f t="shared" si="19"/>
        <v>0</v>
      </c>
      <c r="V31">
        <f t="shared" si="20"/>
        <v>0</v>
      </c>
      <c r="W31">
        <f t="shared" si="21"/>
        <v>56</v>
      </c>
      <c r="X31">
        <f t="shared" si="22"/>
        <v>0</v>
      </c>
      <c r="Z31">
        <f t="shared" si="23"/>
        <v>0</v>
      </c>
      <c r="AA31">
        <f t="shared" si="24"/>
        <v>0</v>
      </c>
      <c r="AB31">
        <f t="shared" si="25"/>
        <v>1</v>
      </c>
      <c r="AC31">
        <f t="shared" si="26"/>
        <v>0</v>
      </c>
      <c r="AE31">
        <f t="shared" si="27"/>
        <v>4</v>
      </c>
      <c r="AF31">
        <f t="shared" si="28"/>
        <v>0</v>
      </c>
      <c r="AG31">
        <f t="shared" si="29"/>
        <v>0</v>
      </c>
      <c r="AH31">
        <f t="shared" si="30"/>
        <v>4</v>
      </c>
      <c r="AI31">
        <f t="shared" si="31"/>
        <v>0</v>
      </c>
      <c r="AK31">
        <f t="shared" si="32"/>
        <v>1</v>
      </c>
      <c r="AL31">
        <f t="shared" si="33"/>
        <v>0</v>
      </c>
      <c r="AM31">
        <f t="shared" si="34"/>
        <v>1</v>
      </c>
    </row>
    <row r="32" spans="1:39" ht="12.75">
      <c r="A32" s="391"/>
      <c r="B32" s="380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R32" s="366">
        <f aca="true" t="shared" si="35" ref="R32:R39">(J32+P32)*$R$1-S32</f>
        <v>0</v>
      </c>
      <c r="S32">
        <f t="shared" si="18"/>
        <v>0</v>
      </c>
      <c r="U32">
        <f t="shared" si="19"/>
        <v>0</v>
      </c>
      <c r="V32">
        <f t="shared" si="20"/>
        <v>0</v>
      </c>
      <c r="W32">
        <f t="shared" si="21"/>
        <v>0</v>
      </c>
      <c r="X32">
        <f t="shared" si="22"/>
        <v>0</v>
      </c>
      <c r="Z32">
        <f t="shared" si="23"/>
        <v>0</v>
      </c>
      <c r="AA32">
        <f t="shared" si="24"/>
        <v>0</v>
      </c>
      <c r="AB32">
        <f t="shared" si="25"/>
        <v>0</v>
      </c>
      <c r="AC32">
        <f t="shared" si="26"/>
        <v>0</v>
      </c>
      <c r="AE32">
        <f t="shared" si="27"/>
        <v>0</v>
      </c>
      <c r="AF32">
        <f t="shared" si="28"/>
        <v>0</v>
      </c>
      <c r="AG32">
        <f t="shared" si="29"/>
        <v>0</v>
      </c>
      <c r="AH32">
        <f t="shared" si="30"/>
        <v>0</v>
      </c>
      <c r="AI32">
        <f t="shared" si="31"/>
        <v>0</v>
      </c>
      <c r="AK32">
        <f t="shared" si="32"/>
        <v>0</v>
      </c>
      <c r="AL32">
        <f t="shared" si="33"/>
        <v>0</v>
      </c>
      <c r="AM32">
        <f t="shared" si="34"/>
        <v>0</v>
      </c>
    </row>
    <row r="33" spans="1:39" ht="12.75">
      <c r="A33" s="391">
        <v>4</v>
      </c>
      <c r="B33" s="380"/>
      <c r="C33" s="376"/>
      <c r="D33" s="376"/>
      <c r="E33" s="376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R33" s="366">
        <f t="shared" si="35"/>
        <v>0</v>
      </c>
      <c r="S33">
        <f t="shared" si="18"/>
        <v>0</v>
      </c>
      <c r="U33">
        <f t="shared" si="19"/>
        <v>0</v>
      </c>
      <c r="V33">
        <f t="shared" si="20"/>
        <v>0</v>
      </c>
      <c r="W33">
        <f t="shared" si="21"/>
        <v>0</v>
      </c>
      <c r="X33">
        <f t="shared" si="22"/>
        <v>0</v>
      </c>
      <c r="Z33">
        <f t="shared" si="23"/>
        <v>0</v>
      </c>
      <c r="AA33">
        <f t="shared" si="24"/>
        <v>0</v>
      </c>
      <c r="AB33">
        <f t="shared" si="25"/>
        <v>0</v>
      </c>
      <c r="AC33">
        <f t="shared" si="26"/>
        <v>0</v>
      </c>
      <c r="AE33">
        <f t="shared" si="27"/>
        <v>0</v>
      </c>
      <c r="AF33">
        <f t="shared" si="28"/>
        <v>0</v>
      </c>
      <c r="AG33">
        <f t="shared" si="29"/>
        <v>0</v>
      </c>
      <c r="AH33">
        <f t="shared" si="30"/>
        <v>0</v>
      </c>
      <c r="AI33">
        <f t="shared" si="31"/>
        <v>0</v>
      </c>
      <c r="AK33">
        <f t="shared" si="32"/>
        <v>0</v>
      </c>
      <c r="AL33">
        <f t="shared" si="33"/>
        <v>0</v>
      </c>
      <c r="AM33">
        <f t="shared" si="34"/>
        <v>0</v>
      </c>
    </row>
    <row r="34" spans="1:39" ht="12.75">
      <c r="A34" s="391">
        <v>5</v>
      </c>
      <c r="B34" s="380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R34" s="366">
        <f t="shared" si="35"/>
        <v>0</v>
      </c>
      <c r="S34">
        <f t="shared" si="18"/>
        <v>0</v>
      </c>
      <c r="U34">
        <f t="shared" si="19"/>
        <v>0</v>
      </c>
      <c r="V34">
        <f t="shared" si="20"/>
        <v>0</v>
      </c>
      <c r="W34">
        <f t="shared" si="21"/>
        <v>0</v>
      </c>
      <c r="X34">
        <f t="shared" si="22"/>
        <v>0</v>
      </c>
      <c r="Z34">
        <f t="shared" si="23"/>
        <v>0</v>
      </c>
      <c r="AA34">
        <f t="shared" si="24"/>
        <v>0</v>
      </c>
      <c r="AB34">
        <f t="shared" si="25"/>
        <v>0</v>
      </c>
      <c r="AC34">
        <f t="shared" si="26"/>
        <v>0</v>
      </c>
      <c r="AE34">
        <f t="shared" si="27"/>
        <v>0</v>
      </c>
      <c r="AF34">
        <f t="shared" si="28"/>
        <v>0</v>
      </c>
      <c r="AG34">
        <f t="shared" si="29"/>
        <v>0</v>
      </c>
      <c r="AH34">
        <f t="shared" si="30"/>
        <v>0</v>
      </c>
      <c r="AI34">
        <f t="shared" si="31"/>
        <v>0</v>
      </c>
      <c r="AK34">
        <f t="shared" si="32"/>
        <v>0</v>
      </c>
      <c r="AL34">
        <f t="shared" si="33"/>
        <v>0</v>
      </c>
      <c r="AM34">
        <f t="shared" si="34"/>
        <v>0</v>
      </c>
    </row>
    <row r="35" spans="1:39" ht="12.75">
      <c r="A35" s="391">
        <v>6</v>
      </c>
      <c r="B35" s="380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R35" s="366">
        <f t="shared" si="35"/>
        <v>0</v>
      </c>
      <c r="S35">
        <f t="shared" si="18"/>
        <v>0</v>
      </c>
      <c r="U35">
        <f t="shared" si="19"/>
        <v>0</v>
      </c>
      <c r="V35">
        <f t="shared" si="20"/>
        <v>0</v>
      </c>
      <c r="W35">
        <f t="shared" si="21"/>
        <v>0</v>
      </c>
      <c r="X35">
        <f t="shared" si="22"/>
        <v>0</v>
      </c>
      <c r="Z35">
        <f t="shared" si="23"/>
        <v>0</v>
      </c>
      <c r="AA35">
        <f t="shared" si="24"/>
        <v>0</v>
      </c>
      <c r="AB35">
        <f t="shared" si="25"/>
        <v>0</v>
      </c>
      <c r="AC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K35">
        <f t="shared" si="32"/>
        <v>0</v>
      </c>
      <c r="AL35">
        <f t="shared" si="33"/>
        <v>0</v>
      </c>
      <c r="AM35">
        <f t="shared" si="34"/>
        <v>0</v>
      </c>
    </row>
    <row r="36" spans="1:39" ht="12.75">
      <c r="A36" s="391">
        <v>7</v>
      </c>
      <c r="B36" s="391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R36" s="366">
        <f t="shared" si="35"/>
        <v>0</v>
      </c>
      <c r="S36">
        <f t="shared" si="18"/>
        <v>0</v>
      </c>
      <c r="U36">
        <f t="shared" si="19"/>
        <v>0</v>
      </c>
      <c r="V36">
        <f t="shared" si="20"/>
        <v>0</v>
      </c>
      <c r="W36">
        <f t="shared" si="21"/>
        <v>0</v>
      </c>
      <c r="X36">
        <f t="shared" si="22"/>
        <v>0</v>
      </c>
      <c r="Z36">
        <f t="shared" si="23"/>
        <v>0</v>
      </c>
      <c r="AA36">
        <f t="shared" si="24"/>
        <v>0</v>
      </c>
      <c r="AB36">
        <f t="shared" si="25"/>
        <v>0</v>
      </c>
      <c r="AC36">
        <f t="shared" si="26"/>
        <v>0</v>
      </c>
      <c r="AE36">
        <f t="shared" si="27"/>
        <v>0</v>
      </c>
      <c r="AF36">
        <f t="shared" si="28"/>
        <v>0</v>
      </c>
      <c r="AG36">
        <f t="shared" si="29"/>
        <v>0</v>
      </c>
      <c r="AH36">
        <f t="shared" si="30"/>
        <v>0</v>
      </c>
      <c r="AI36">
        <f t="shared" si="31"/>
        <v>0</v>
      </c>
      <c r="AK36">
        <f t="shared" si="32"/>
        <v>0</v>
      </c>
      <c r="AL36">
        <f t="shared" si="33"/>
        <v>0</v>
      </c>
      <c r="AM36">
        <f t="shared" si="34"/>
        <v>0</v>
      </c>
    </row>
    <row r="37" spans="1:39" ht="12.75">
      <c r="A37" s="391">
        <v>8</v>
      </c>
      <c r="B37" s="391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R37" s="366">
        <f t="shared" si="35"/>
        <v>0</v>
      </c>
      <c r="S37">
        <f t="shared" si="18"/>
        <v>0</v>
      </c>
      <c r="U37">
        <f t="shared" si="19"/>
        <v>0</v>
      </c>
      <c r="V37">
        <f t="shared" si="20"/>
        <v>0</v>
      </c>
      <c r="W37">
        <f t="shared" si="21"/>
        <v>0</v>
      </c>
      <c r="X37">
        <f t="shared" si="22"/>
        <v>0</v>
      </c>
      <c r="Z37">
        <f t="shared" si="23"/>
        <v>0</v>
      </c>
      <c r="AA37">
        <f t="shared" si="24"/>
        <v>0</v>
      </c>
      <c r="AB37">
        <f t="shared" si="25"/>
        <v>0</v>
      </c>
      <c r="AC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K37">
        <f t="shared" si="32"/>
        <v>0</v>
      </c>
      <c r="AL37">
        <f t="shared" si="33"/>
        <v>0</v>
      </c>
      <c r="AM37">
        <f t="shared" si="34"/>
        <v>0</v>
      </c>
    </row>
    <row r="38" spans="1:39" ht="12.75">
      <c r="A38" s="391">
        <v>9</v>
      </c>
      <c r="B38" s="391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R38" s="366">
        <f t="shared" si="35"/>
        <v>0</v>
      </c>
      <c r="S38">
        <f t="shared" si="18"/>
        <v>0</v>
      </c>
      <c r="U38">
        <f t="shared" si="19"/>
        <v>0</v>
      </c>
      <c r="V38">
        <f t="shared" si="20"/>
        <v>0</v>
      </c>
      <c r="W38">
        <f t="shared" si="21"/>
        <v>0</v>
      </c>
      <c r="X38">
        <f t="shared" si="22"/>
        <v>0</v>
      </c>
      <c r="Z38">
        <f t="shared" si="23"/>
        <v>0</v>
      </c>
      <c r="AA38">
        <f t="shared" si="24"/>
        <v>0</v>
      </c>
      <c r="AB38">
        <f t="shared" si="25"/>
        <v>0</v>
      </c>
      <c r="AC38">
        <f t="shared" si="26"/>
        <v>0</v>
      </c>
      <c r="AE38">
        <f t="shared" si="27"/>
        <v>0</v>
      </c>
      <c r="AF38">
        <f t="shared" si="28"/>
        <v>0</v>
      </c>
      <c r="AG38">
        <f t="shared" si="29"/>
        <v>0</v>
      </c>
      <c r="AH38">
        <f t="shared" si="30"/>
        <v>0</v>
      </c>
      <c r="AI38">
        <f t="shared" si="31"/>
        <v>0</v>
      </c>
      <c r="AK38">
        <f t="shared" si="32"/>
        <v>0</v>
      </c>
      <c r="AL38">
        <f t="shared" si="33"/>
        <v>0</v>
      </c>
      <c r="AM38">
        <f t="shared" si="34"/>
        <v>0</v>
      </c>
    </row>
    <row r="39" spans="1:39" ht="12.75">
      <c r="A39" s="391">
        <v>10</v>
      </c>
      <c r="B39" s="391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R39" s="366">
        <f t="shared" si="35"/>
        <v>0</v>
      </c>
      <c r="S39">
        <f t="shared" si="18"/>
        <v>0</v>
      </c>
      <c r="U39">
        <f t="shared" si="19"/>
        <v>0</v>
      </c>
      <c r="V39">
        <f t="shared" si="20"/>
        <v>0</v>
      </c>
      <c r="W39">
        <f t="shared" si="21"/>
        <v>0</v>
      </c>
      <c r="X39">
        <f t="shared" si="22"/>
        <v>0</v>
      </c>
      <c r="Z39">
        <f t="shared" si="23"/>
        <v>0</v>
      </c>
      <c r="AA39">
        <f t="shared" si="24"/>
        <v>0</v>
      </c>
      <c r="AB39">
        <f t="shared" si="25"/>
        <v>0</v>
      </c>
      <c r="AC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K39">
        <f t="shared" si="32"/>
        <v>0</v>
      </c>
      <c r="AL39">
        <f t="shared" si="33"/>
        <v>0</v>
      </c>
      <c r="AM39">
        <f t="shared" si="34"/>
        <v>0</v>
      </c>
    </row>
    <row r="40" spans="2:18" ht="12.75">
      <c r="B40" s="387" t="s">
        <v>306</v>
      </c>
      <c r="D40" s="369"/>
      <c r="E40">
        <f>SUM(E30:E39)</f>
        <v>2</v>
      </c>
      <c r="F40">
        <f>SUM(F30:F39)</f>
        <v>0</v>
      </c>
      <c r="G40">
        <f>SUM(G30:G39)</f>
        <v>1</v>
      </c>
      <c r="H40">
        <f>SUM(H30:H39)</f>
        <v>0</v>
      </c>
      <c r="I40" s="388">
        <f>Z41</f>
        <v>1</v>
      </c>
      <c r="J40" s="369">
        <f>SUM(J30:J39)</f>
        <v>4</v>
      </c>
      <c r="K40">
        <f>SUM(K30:K39)</f>
        <v>2</v>
      </c>
      <c r="L40">
        <f>SUM(L30:L39)</f>
        <v>0</v>
      </c>
      <c r="M40">
        <f>SUM(M30:M39)</f>
        <v>1</v>
      </c>
      <c r="N40">
        <f>SUM(N30:N39)</f>
        <v>1</v>
      </c>
      <c r="O40" s="388">
        <f>AB41</f>
        <v>1</v>
      </c>
      <c r="P40" s="369">
        <f>SUM(P30:P39)</f>
        <v>4</v>
      </c>
      <c r="R40" s="366"/>
    </row>
    <row r="41" spans="4:39" ht="12.75">
      <c r="D41" s="369"/>
      <c r="E41">
        <f>E40+F40+G40+H40</f>
        <v>3</v>
      </c>
      <c r="I41" s="388">
        <f>AA41</f>
        <v>0</v>
      </c>
      <c r="J41" s="369"/>
      <c r="K41">
        <f>K40+L40+M40+N40</f>
        <v>4</v>
      </c>
      <c r="O41" s="388">
        <f>AC41</f>
        <v>0</v>
      </c>
      <c r="P41" s="369"/>
      <c r="R41" s="366">
        <f>SUM(R30:R39)</f>
        <v>102</v>
      </c>
      <c r="S41">
        <f>SUM(S30:S39)</f>
        <v>98</v>
      </c>
      <c r="U41" s="82"/>
      <c r="V41" s="82"/>
      <c r="W41" s="82"/>
      <c r="X41" s="82"/>
      <c r="Z41">
        <f>SUM(Z30:Z39)</f>
        <v>1</v>
      </c>
      <c r="AA41">
        <f>SUM(AA30:AA39)</f>
        <v>0</v>
      </c>
      <c r="AB41">
        <f>SUM(AB30:AB39)</f>
        <v>1</v>
      </c>
      <c r="AC41">
        <f>SUM(AC30:AC39)</f>
        <v>0</v>
      </c>
      <c r="AE41">
        <f>SUM(AE5:AE39)</f>
        <v>60</v>
      </c>
      <c r="AF41">
        <f>SUM(AF5:AF39)</f>
        <v>0</v>
      </c>
      <c r="AG41">
        <f>SUM(AG5:AG39)</f>
        <v>31</v>
      </c>
      <c r="AH41">
        <f>SUM(AH5:AH39)</f>
        <v>27</v>
      </c>
      <c r="AI41">
        <f>SUM(AI5:AI39)</f>
        <v>2</v>
      </c>
      <c r="AK41">
        <f>SUM(AK5:AK39)</f>
        <v>4</v>
      </c>
      <c r="AL41">
        <f>SUM(AL5:AL39)</f>
        <v>2</v>
      </c>
      <c r="AM41">
        <f>SUM(AM5:AM39)</f>
        <v>2</v>
      </c>
    </row>
    <row r="42" spans="4:18" ht="12.75">
      <c r="D42" s="17"/>
      <c r="I42" s="389" t="s">
        <v>305</v>
      </c>
      <c r="J42" s="17"/>
      <c r="O42" s="389" t="s">
        <v>305</v>
      </c>
      <c r="P42" s="17"/>
      <c r="R42" s="366"/>
    </row>
    <row r="43" spans="18:19" ht="12.75">
      <c r="R43" s="366"/>
      <c r="S43" s="82"/>
    </row>
    <row r="44" spans="2:29" ht="12.75">
      <c r="B44" s="364" t="s">
        <v>307</v>
      </c>
      <c r="D44" s="369"/>
      <c r="E44">
        <f>E25+E40</f>
        <v>14</v>
      </c>
      <c r="F44">
        <f>F25+F40</f>
        <v>2</v>
      </c>
      <c r="G44">
        <f>G25+G40</f>
        <v>7</v>
      </c>
      <c r="H44">
        <f>H25+H40</f>
        <v>3</v>
      </c>
      <c r="I44" s="388">
        <f>Z44</f>
        <v>4</v>
      </c>
      <c r="J44" s="369">
        <f>J25+J40</f>
        <v>30</v>
      </c>
      <c r="K44">
        <f>K25+K40</f>
        <v>14</v>
      </c>
      <c r="L44">
        <f>L25+L40</f>
        <v>2</v>
      </c>
      <c r="M44">
        <f>M25+M40</f>
        <v>7</v>
      </c>
      <c r="N44">
        <f>N25+N40</f>
        <v>3</v>
      </c>
      <c r="O44" s="388">
        <f>AB44</f>
        <v>5</v>
      </c>
      <c r="P44" s="369">
        <f>P25+P40</f>
        <v>30</v>
      </c>
      <c r="R44" s="366"/>
      <c r="U44" s="82">
        <f>SUM(U5:U39)</f>
        <v>0</v>
      </c>
      <c r="V44" s="82">
        <f>SUM(V5:V39)</f>
        <v>420</v>
      </c>
      <c r="W44" s="82">
        <f>SUM(W5:W39)</f>
        <v>370</v>
      </c>
      <c r="X44" s="82">
        <f>SUM(X5:X39)</f>
        <v>28</v>
      </c>
      <c r="Z44">
        <f>Z26+Z41</f>
        <v>4</v>
      </c>
      <c r="AA44">
        <f>AA26+AA41</f>
        <v>4</v>
      </c>
      <c r="AB44">
        <f>AB26+AB41</f>
        <v>5</v>
      </c>
      <c r="AC44">
        <f>AC26+AC41</f>
        <v>5</v>
      </c>
    </row>
    <row r="45" spans="2:24" ht="12.75">
      <c r="B45" s="364"/>
      <c r="D45" s="369"/>
      <c r="E45">
        <f>E44+F44+G44+H44</f>
        <v>26</v>
      </c>
      <c r="I45" s="388">
        <f>AA44</f>
        <v>4</v>
      </c>
      <c r="J45" s="369"/>
      <c r="K45">
        <f>K44+L44+M44+N44</f>
        <v>26</v>
      </c>
      <c r="O45" s="388">
        <f>AC44</f>
        <v>5</v>
      </c>
      <c r="P45" s="369"/>
      <c r="Q45" s="392">
        <f>R45+S45</f>
        <v>1500</v>
      </c>
      <c r="R45" s="366">
        <f>R26+R41</f>
        <v>682</v>
      </c>
      <c r="S45">
        <f>S26+S41</f>
        <v>818</v>
      </c>
      <c r="U45" s="82">
        <f>SUM(U44:X44)</f>
        <v>818</v>
      </c>
      <c r="V45" s="82"/>
      <c r="W45" s="82"/>
      <c r="X45" s="82"/>
    </row>
    <row r="46" spans="2:18" ht="12.75">
      <c r="B46" s="364"/>
      <c r="D46" s="17"/>
      <c r="I46" s="389" t="s">
        <v>305</v>
      </c>
      <c r="J46" s="17"/>
      <c r="O46" s="389" t="s">
        <v>305</v>
      </c>
      <c r="P46" s="17"/>
      <c r="Q46" s="393" t="str">
        <f>IF(Q45=R1*(J44+P44),"OK","BAD")</f>
        <v>OK</v>
      </c>
      <c r="R46" s="366"/>
    </row>
    <row r="47" ht="12.75">
      <c r="R47" s="366"/>
    </row>
    <row r="48" spans="1:18" ht="12.75">
      <c r="A48" s="372" t="s">
        <v>293</v>
      </c>
      <c r="B48" s="372" t="s">
        <v>14</v>
      </c>
      <c r="C48" s="372" t="s">
        <v>294</v>
      </c>
      <c r="D48" s="373" t="s">
        <v>295</v>
      </c>
      <c r="E48" s="372" t="s">
        <v>9</v>
      </c>
      <c r="F48" s="372" t="s">
        <v>10</v>
      </c>
      <c r="G48" s="372" t="s">
        <v>11</v>
      </c>
      <c r="H48" s="372" t="s">
        <v>12</v>
      </c>
      <c r="I48" s="372" t="s">
        <v>296</v>
      </c>
      <c r="J48" s="373" t="s">
        <v>297</v>
      </c>
      <c r="K48" s="372" t="s">
        <v>9</v>
      </c>
      <c r="L48" s="372" t="s">
        <v>10</v>
      </c>
      <c r="M48" s="372" t="s">
        <v>11</v>
      </c>
      <c r="N48" s="372" t="s">
        <v>12</v>
      </c>
      <c r="O48" s="372" t="s">
        <v>296</v>
      </c>
      <c r="P48" s="373" t="s">
        <v>297</v>
      </c>
      <c r="R48" s="366"/>
    </row>
    <row r="49" spans="1:29" ht="12.75">
      <c r="A49" s="374">
        <v>1</v>
      </c>
      <c r="B49" s="374" t="s">
        <v>163</v>
      </c>
      <c r="C49" s="376" t="s">
        <v>308</v>
      </c>
      <c r="D49" s="376" t="s">
        <v>309</v>
      </c>
      <c r="E49" s="376">
        <v>1</v>
      </c>
      <c r="F49" s="376">
        <v>1</v>
      </c>
      <c r="G49" s="376"/>
      <c r="H49" s="376"/>
      <c r="I49" s="376" t="s">
        <v>9</v>
      </c>
      <c r="J49" s="376">
        <v>2</v>
      </c>
      <c r="K49" s="376"/>
      <c r="L49" s="376"/>
      <c r="M49" s="376"/>
      <c r="N49" s="376"/>
      <c r="O49" s="376"/>
      <c r="P49" s="376"/>
      <c r="R49" s="366">
        <f aca="true" t="shared" si="36" ref="R49:R58">(J49+P49)*$R$1-S49</f>
        <v>22</v>
      </c>
      <c r="S49">
        <f aca="true" t="shared" si="37" ref="S49:S58">SUM(E49:H49)*14+SUM(K49:N49)*14</f>
        <v>28</v>
      </c>
      <c r="Z49">
        <f aca="true" t="shared" si="38" ref="Z49:Z58">IF(I49="E",1,0)</f>
        <v>0</v>
      </c>
      <c r="AA49">
        <f aca="true" t="shared" si="39" ref="AA49:AA58">IF(I49="C",1,0)</f>
        <v>1</v>
      </c>
      <c r="AB49">
        <f aca="true" t="shared" si="40" ref="AB49:AB58">IF(O49="E",1,0)</f>
        <v>0</v>
      </c>
      <c r="AC49">
        <f aca="true" t="shared" si="41" ref="AC49:AC58">IF(O49="C",1,0)</f>
        <v>0</v>
      </c>
    </row>
    <row r="50" spans="1:29" ht="12.75">
      <c r="A50" s="374">
        <v>2</v>
      </c>
      <c r="B50" s="374" t="s">
        <v>165</v>
      </c>
      <c r="C50" s="376" t="s">
        <v>308</v>
      </c>
      <c r="D50" s="376" t="s">
        <v>309</v>
      </c>
      <c r="E50" s="376"/>
      <c r="F50" s="376">
        <v>3</v>
      </c>
      <c r="G50" s="376"/>
      <c r="H50" s="376"/>
      <c r="I50" s="376" t="s">
        <v>9</v>
      </c>
      <c r="J50" s="376">
        <v>2</v>
      </c>
      <c r="K50" s="376"/>
      <c r="L50" s="376"/>
      <c r="M50" s="376"/>
      <c r="N50" s="376"/>
      <c r="O50" s="376"/>
      <c r="P50" s="376"/>
      <c r="R50" s="366">
        <f t="shared" si="36"/>
        <v>8</v>
      </c>
      <c r="S50">
        <f t="shared" si="37"/>
        <v>42</v>
      </c>
      <c r="Z50">
        <f t="shared" si="38"/>
        <v>0</v>
      </c>
      <c r="AA50">
        <f t="shared" si="39"/>
        <v>1</v>
      </c>
      <c r="AB50">
        <f t="shared" si="40"/>
        <v>0</v>
      </c>
      <c r="AC50">
        <f t="shared" si="41"/>
        <v>0</v>
      </c>
    </row>
    <row r="51" spans="1:29" ht="12.75">
      <c r="A51" s="374">
        <v>3</v>
      </c>
      <c r="B51" s="380" t="s">
        <v>172</v>
      </c>
      <c r="C51" s="376" t="s">
        <v>308</v>
      </c>
      <c r="D51" s="376" t="s">
        <v>309</v>
      </c>
      <c r="E51" s="376"/>
      <c r="F51" s="376"/>
      <c r="G51" s="376"/>
      <c r="H51" s="376"/>
      <c r="I51" s="376"/>
      <c r="J51" s="376"/>
      <c r="K51" s="376">
        <v>1</v>
      </c>
      <c r="L51" s="376">
        <v>1</v>
      </c>
      <c r="M51" s="376"/>
      <c r="N51" s="376"/>
      <c r="O51" s="376" t="s">
        <v>81</v>
      </c>
      <c r="P51" s="376">
        <v>3</v>
      </c>
      <c r="R51" s="366">
        <f t="shared" si="36"/>
        <v>47</v>
      </c>
      <c r="S51">
        <f t="shared" si="37"/>
        <v>28</v>
      </c>
      <c r="Z51">
        <f t="shared" si="38"/>
        <v>0</v>
      </c>
      <c r="AA51">
        <f t="shared" si="39"/>
        <v>0</v>
      </c>
      <c r="AB51">
        <f t="shared" si="40"/>
        <v>1</v>
      </c>
      <c r="AC51">
        <f t="shared" si="41"/>
        <v>0</v>
      </c>
    </row>
    <row r="52" spans="1:29" ht="12.75">
      <c r="A52" s="374">
        <v>4</v>
      </c>
      <c r="B52" s="374" t="s">
        <v>169</v>
      </c>
      <c r="C52" s="376" t="s">
        <v>308</v>
      </c>
      <c r="D52" s="376" t="s">
        <v>309</v>
      </c>
      <c r="E52" s="376"/>
      <c r="F52" s="376"/>
      <c r="G52" s="376"/>
      <c r="H52" s="376"/>
      <c r="I52" s="376"/>
      <c r="J52" s="376"/>
      <c r="K52" s="376"/>
      <c r="L52" s="376">
        <v>3</v>
      </c>
      <c r="M52" s="376"/>
      <c r="N52" s="376"/>
      <c r="O52" s="376" t="s">
        <v>9</v>
      </c>
      <c r="P52" s="376">
        <v>2</v>
      </c>
      <c r="R52" s="366">
        <f t="shared" si="36"/>
        <v>8</v>
      </c>
      <c r="S52">
        <f t="shared" si="37"/>
        <v>42</v>
      </c>
      <c r="Z52">
        <f t="shared" si="38"/>
        <v>0</v>
      </c>
      <c r="AA52">
        <f t="shared" si="39"/>
        <v>0</v>
      </c>
      <c r="AB52">
        <f t="shared" si="40"/>
        <v>0</v>
      </c>
      <c r="AC52">
        <f t="shared" si="41"/>
        <v>1</v>
      </c>
    </row>
    <row r="53" spans="1:29" ht="12.75">
      <c r="A53" s="374">
        <v>5</v>
      </c>
      <c r="B53" s="374" t="s">
        <v>171</v>
      </c>
      <c r="C53" s="376" t="s">
        <v>308</v>
      </c>
      <c r="D53" s="376" t="s">
        <v>309</v>
      </c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 t="s">
        <v>81</v>
      </c>
      <c r="P53" s="376">
        <v>5</v>
      </c>
      <c r="R53" s="366">
        <f t="shared" si="36"/>
        <v>125</v>
      </c>
      <c r="S53">
        <f t="shared" si="37"/>
        <v>0</v>
      </c>
      <c r="Z53">
        <f t="shared" si="38"/>
        <v>0</v>
      </c>
      <c r="AA53">
        <f t="shared" si="39"/>
        <v>0</v>
      </c>
      <c r="AB53">
        <f t="shared" si="40"/>
        <v>1</v>
      </c>
      <c r="AC53">
        <f t="shared" si="41"/>
        <v>0</v>
      </c>
    </row>
    <row r="54" spans="1:29" ht="12.75">
      <c r="A54" s="391">
        <v>6</v>
      </c>
      <c r="B54" s="374"/>
      <c r="C54" s="391"/>
      <c r="D54" s="391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R54" s="366">
        <f t="shared" si="36"/>
        <v>0</v>
      </c>
      <c r="S54">
        <f t="shared" si="37"/>
        <v>0</v>
      </c>
      <c r="Z54">
        <f t="shared" si="38"/>
        <v>0</v>
      </c>
      <c r="AA54">
        <f t="shared" si="39"/>
        <v>0</v>
      </c>
      <c r="AB54">
        <f t="shared" si="40"/>
        <v>0</v>
      </c>
      <c r="AC54">
        <f t="shared" si="41"/>
        <v>0</v>
      </c>
    </row>
    <row r="55" spans="1:29" ht="12.75">
      <c r="A55" s="391">
        <v>7</v>
      </c>
      <c r="B55" s="380"/>
      <c r="C55" s="391"/>
      <c r="D55" s="391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R55" s="366">
        <f t="shared" si="36"/>
        <v>0</v>
      </c>
      <c r="S55">
        <f t="shared" si="37"/>
        <v>0</v>
      </c>
      <c r="Z55">
        <f t="shared" si="38"/>
        <v>0</v>
      </c>
      <c r="AA55">
        <f t="shared" si="39"/>
        <v>0</v>
      </c>
      <c r="AB55">
        <f t="shared" si="40"/>
        <v>0</v>
      </c>
      <c r="AC55">
        <f t="shared" si="41"/>
        <v>0</v>
      </c>
    </row>
    <row r="56" spans="1:29" ht="12.75">
      <c r="A56" s="391">
        <v>8</v>
      </c>
      <c r="B56" s="374"/>
      <c r="C56" s="391"/>
      <c r="D56" s="391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R56" s="366">
        <f t="shared" si="36"/>
        <v>0</v>
      </c>
      <c r="S56">
        <f t="shared" si="37"/>
        <v>0</v>
      </c>
      <c r="Z56">
        <f t="shared" si="38"/>
        <v>0</v>
      </c>
      <c r="AA56">
        <f t="shared" si="39"/>
        <v>0</v>
      </c>
      <c r="AB56">
        <f t="shared" si="40"/>
        <v>0</v>
      </c>
      <c r="AC56">
        <f t="shared" si="41"/>
        <v>0</v>
      </c>
    </row>
    <row r="57" spans="1:29" ht="12.75">
      <c r="A57" s="391">
        <v>9</v>
      </c>
      <c r="B57" s="380"/>
      <c r="C57" s="391"/>
      <c r="D57" s="391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R57" s="366">
        <f t="shared" si="36"/>
        <v>0</v>
      </c>
      <c r="S57">
        <f t="shared" si="37"/>
        <v>0</v>
      </c>
      <c r="Z57">
        <f t="shared" si="38"/>
        <v>0</v>
      </c>
      <c r="AA57">
        <f t="shared" si="39"/>
        <v>0</v>
      </c>
      <c r="AB57">
        <f t="shared" si="40"/>
        <v>0</v>
      </c>
      <c r="AC57">
        <f t="shared" si="41"/>
        <v>0</v>
      </c>
    </row>
    <row r="58" spans="1:29" ht="12.75">
      <c r="A58" s="391">
        <v>10</v>
      </c>
      <c r="B58" s="391"/>
      <c r="C58" s="391"/>
      <c r="D58" s="391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R58" s="366">
        <f t="shared" si="36"/>
        <v>0</v>
      </c>
      <c r="S58">
        <f t="shared" si="37"/>
        <v>0</v>
      </c>
      <c r="Z58">
        <f t="shared" si="38"/>
        <v>0</v>
      </c>
      <c r="AA58">
        <f t="shared" si="39"/>
        <v>0</v>
      </c>
      <c r="AB58">
        <f t="shared" si="40"/>
        <v>0</v>
      </c>
      <c r="AC58">
        <f t="shared" si="41"/>
        <v>0</v>
      </c>
    </row>
    <row r="59" spans="2:18" ht="12.75">
      <c r="B59" s="387" t="s">
        <v>311</v>
      </c>
      <c r="D59" s="369"/>
      <c r="E59">
        <f>SUM(E49:E58)</f>
        <v>1</v>
      </c>
      <c r="F59">
        <f>SUM(F49:F58)</f>
        <v>4</v>
      </c>
      <c r="G59">
        <f>SUM(G49:G58)</f>
        <v>0</v>
      </c>
      <c r="H59">
        <f>SUM(H49:H58)</f>
        <v>0</v>
      </c>
      <c r="I59" s="388">
        <f>Z60</f>
        <v>0</v>
      </c>
      <c r="J59" s="369">
        <f>SUM(J49:J58)</f>
        <v>4</v>
      </c>
      <c r="K59">
        <f>SUM(K49:K58)</f>
        <v>1</v>
      </c>
      <c r="L59">
        <f>SUM(L49:L58)</f>
        <v>4</v>
      </c>
      <c r="M59">
        <f>SUM(M49:M58)</f>
        <v>0</v>
      </c>
      <c r="N59">
        <f>SUM(N49:N58)</f>
        <v>0</v>
      </c>
      <c r="O59" s="388">
        <f>AB60</f>
        <v>2</v>
      </c>
      <c r="P59" s="369">
        <f>SUM(P49:P58)</f>
        <v>10</v>
      </c>
      <c r="R59" s="366"/>
    </row>
    <row r="60" spans="4:79" ht="12.75">
      <c r="D60" s="369"/>
      <c r="E60">
        <f>E59+F59+G59+H59</f>
        <v>5</v>
      </c>
      <c r="I60" s="388">
        <f>AA60</f>
        <v>2</v>
      </c>
      <c r="J60" s="369"/>
      <c r="K60">
        <f>K59+L59+M59+N59</f>
        <v>5</v>
      </c>
      <c r="O60" s="388">
        <f>AC60</f>
        <v>1</v>
      </c>
      <c r="P60" s="369"/>
      <c r="Q60" s="392">
        <f>R60+S60</f>
        <v>350</v>
      </c>
      <c r="R60" s="366">
        <f>SUM(R49:R58)</f>
        <v>210</v>
      </c>
      <c r="S60">
        <f>SUM(S49:S58)</f>
        <v>140</v>
      </c>
      <c r="U60" s="82"/>
      <c r="V60" s="82"/>
      <c r="W60" s="82"/>
      <c r="X60" s="82"/>
      <c r="Y60" s="82"/>
      <c r="Z60">
        <f>SUM(Z49:Z58)</f>
        <v>0</v>
      </c>
      <c r="AA60">
        <f>SUM(AA49:AA58)</f>
        <v>2</v>
      </c>
      <c r="AB60">
        <f>SUM(AB49:AB58)</f>
        <v>2</v>
      </c>
      <c r="AC60">
        <f>SUM(AC49:AC58)</f>
        <v>1</v>
      </c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</row>
    <row r="61" spans="4:79" ht="12.75">
      <c r="D61" s="17"/>
      <c r="I61" s="389" t="s">
        <v>305</v>
      </c>
      <c r="J61" s="17"/>
      <c r="O61" s="389" t="s">
        <v>305</v>
      </c>
      <c r="P61" s="17"/>
      <c r="Q61" s="393" t="str">
        <f>IF(Q60=R1*(J59+P59),"OK","BAD")</f>
        <v>OK</v>
      </c>
      <c r="R61" s="366"/>
      <c r="U61" s="394"/>
      <c r="V61" s="394"/>
      <c r="W61" s="394"/>
      <c r="X61" s="394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</row>
    <row r="62" spans="18:79" ht="12.75">
      <c r="R62" s="366"/>
      <c r="T62" t="s">
        <v>303</v>
      </c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</row>
    <row r="63" spans="18:79" ht="12.75">
      <c r="R63" s="366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</row>
    <row r="64" spans="18:79" ht="12.75">
      <c r="R64" s="366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</row>
    <row r="65" spans="18:79" ht="12.75">
      <c r="R65" s="366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</row>
    <row r="66" spans="18:79" ht="12.75">
      <c r="R66" s="366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</row>
    <row r="67" spans="18:79" ht="12.75">
      <c r="R67" s="366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</row>
    <row r="68" spans="18:79" ht="12.75">
      <c r="R68" s="366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</row>
    <row r="69" ht="12.75">
      <c r="R69" s="36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A67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3.421875" style="0" customWidth="1"/>
    <col min="2" max="2" width="32.00390625" style="0" customWidth="1"/>
    <col min="3" max="3" width="6.28125" style="0" customWidth="1"/>
    <col min="4" max="4" width="9.8515625" style="0" customWidth="1"/>
    <col min="5" max="5" width="5.00390625" style="0" customWidth="1"/>
    <col min="6" max="6" width="4.421875" style="0" customWidth="1"/>
    <col min="7" max="7" width="3.8515625" style="0" customWidth="1"/>
    <col min="8" max="8" width="3.7109375" style="0" customWidth="1"/>
    <col min="9" max="9" width="4.57421875" style="0" customWidth="1"/>
    <col min="11" max="11" width="5.140625" style="0" customWidth="1"/>
    <col min="12" max="12" width="4.421875" style="0" customWidth="1"/>
    <col min="13" max="13" width="5.00390625" style="0" customWidth="1"/>
    <col min="14" max="14" width="4.8515625" style="0" customWidth="1"/>
    <col min="15" max="15" width="5.57421875" style="0" customWidth="1"/>
    <col min="16" max="16" width="6.57421875" style="0" customWidth="1"/>
    <col min="17" max="17" width="5.8515625" style="0" customWidth="1"/>
    <col min="18" max="18" width="7.00390625" style="0" customWidth="1"/>
  </cols>
  <sheetData>
    <row r="1" spans="1:19" ht="12.75">
      <c r="A1" s="364" t="s">
        <v>282</v>
      </c>
      <c r="B1" s="82"/>
      <c r="C1" s="82"/>
      <c r="D1" s="364"/>
      <c r="E1" s="365" t="s">
        <v>283</v>
      </c>
      <c r="Q1">
        <v>14</v>
      </c>
      <c r="R1" s="366">
        <v>25</v>
      </c>
      <c r="S1" s="82">
        <v>14</v>
      </c>
    </row>
    <row r="2" spans="1:28" ht="12.75">
      <c r="A2" s="364" t="s">
        <v>109</v>
      </c>
      <c r="B2" s="364"/>
      <c r="C2" s="364"/>
      <c r="D2" s="367"/>
      <c r="E2" s="364" t="s">
        <v>285</v>
      </c>
      <c r="F2" s="364"/>
      <c r="G2" s="364"/>
      <c r="H2" s="364"/>
      <c r="I2" s="364"/>
      <c r="J2" s="367"/>
      <c r="K2" s="364" t="s">
        <v>286</v>
      </c>
      <c r="L2" s="364"/>
      <c r="M2" s="364"/>
      <c r="N2" s="364"/>
      <c r="O2" s="364"/>
      <c r="P2" s="367"/>
      <c r="R2" s="366"/>
      <c r="Z2" t="s">
        <v>287</v>
      </c>
      <c r="AB2" t="s">
        <v>288</v>
      </c>
    </row>
    <row r="3" spans="4:39" ht="12.75">
      <c r="D3" s="369"/>
      <c r="E3" s="370">
        <v>8</v>
      </c>
      <c r="F3" s="370" t="s">
        <v>290</v>
      </c>
      <c r="G3" s="370"/>
      <c r="J3" s="369"/>
      <c r="K3" s="370">
        <v>6</v>
      </c>
      <c r="L3" s="370" t="s">
        <v>320</v>
      </c>
      <c r="M3" s="370"/>
      <c r="N3" s="370"/>
      <c r="O3" s="370"/>
      <c r="P3" s="369"/>
      <c r="R3" s="371" t="s">
        <v>291</v>
      </c>
      <c r="S3" t="s">
        <v>292</v>
      </c>
      <c r="U3" t="s">
        <v>82</v>
      </c>
      <c r="V3" t="s">
        <v>112</v>
      </c>
      <c r="W3" t="s">
        <v>88</v>
      </c>
      <c r="X3" t="s">
        <v>85</v>
      </c>
      <c r="Z3" t="s">
        <v>60</v>
      </c>
      <c r="AA3" t="s">
        <v>61</v>
      </c>
      <c r="AB3" t="s">
        <v>60</v>
      </c>
      <c r="AC3" t="s">
        <v>61</v>
      </c>
      <c r="AF3" t="s">
        <v>82</v>
      </c>
      <c r="AG3" t="s">
        <v>112</v>
      </c>
      <c r="AH3" t="s">
        <v>88</v>
      </c>
      <c r="AI3" t="s">
        <v>85</v>
      </c>
      <c r="AK3" t="s">
        <v>12</v>
      </c>
      <c r="AL3" t="s">
        <v>287</v>
      </c>
      <c r="AM3" t="s">
        <v>288</v>
      </c>
    </row>
    <row r="4" spans="1:29" ht="12.75">
      <c r="A4" s="372" t="s">
        <v>293</v>
      </c>
      <c r="B4" s="372" t="s">
        <v>6</v>
      </c>
      <c r="C4" s="404" t="s">
        <v>294</v>
      </c>
      <c r="D4" s="405" t="s">
        <v>295</v>
      </c>
      <c r="E4" s="404" t="s">
        <v>9</v>
      </c>
      <c r="F4" s="404" t="s">
        <v>10</v>
      </c>
      <c r="G4" s="404" t="s">
        <v>11</v>
      </c>
      <c r="H4" s="404" t="s">
        <v>12</v>
      </c>
      <c r="I4" s="404" t="s">
        <v>296</v>
      </c>
      <c r="J4" s="405" t="s">
        <v>297</v>
      </c>
      <c r="K4" s="404" t="s">
        <v>9</v>
      </c>
      <c r="L4" s="404" t="s">
        <v>10</v>
      </c>
      <c r="M4" s="404" t="s">
        <v>11</v>
      </c>
      <c r="N4" s="404" t="s">
        <v>12</v>
      </c>
      <c r="O4" s="404" t="s">
        <v>296</v>
      </c>
      <c r="P4" s="405" t="s">
        <v>297</v>
      </c>
      <c r="R4" s="366"/>
      <c r="Z4" t="s">
        <v>298</v>
      </c>
      <c r="AA4" t="s">
        <v>9</v>
      </c>
      <c r="AB4" t="s">
        <v>299</v>
      </c>
      <c r="AC4" t="s">
        <v>9</v>
      </c>
    </row>
    <row r="5" spans="1:39" ht="26.25">
      <c r="A5" s="395">
        <v>1</v>
      </c>
      <c r="B5" s="398" t="s">
        <v>128</v>
      </c>
      <c r="C5" s="377" t="s">
        <v>88</v>
      </c>
      <c r="D5" s="377" t="s">
        <v>300</v>
      </c>
      <c r="E5" s="377">
        <v>2</v>
      </c>
      <c r="F5" s="377"/>
      <c r="G5" s="377"/>
      <c r="H5" s="377">
        <v>1</v>
      </c>
      <c r="I5" s="377" t="s">
        <v>299</v>
      </c>
      <c r="J5" s="377">
        <v>4</v>
      </c>
      <c r="K5" s="377"/>
      <c r="L5" s="377"/>
      <c r="M5" s="377"/>
      <c r="N5" s="377"/>
      <c r="O5" s="377"/>
      <c r="P5" s="377"/>
      <c r="Q5" s="82"/>
      <c r="R5" s="366">
        <f>(J5+P5)*$R$1-S5</f>
        <v>58</v>
      </c>
      <c r="S5">
        <f aca="true" t="shared" si="0" ref="S5:S23">SUM(E5:H5)*$Q$1+SUM(K5:N5)*$S$1</f>
        <v>42</v>
      </c>
      <c r="U5">
        <f>IF($C5="DF",1,0)*$S5</f>
        <v>0</v>
      </c>
      <c r="V5">
        <f>IF($C5="DD",1,0)*$S5</f>
        <v>0</v>
      </c>
      <c r="W5">
        <f>IF($C5="DS",1,0)*$S5</f>
        <v>42</v>
      </c>
      <c r="X5">
        <f>IF($C5="DC",1,0)*$S5</f>
        <v>0</v>
      </c>
      <c r="Z5">
        <f>IF(I5="E",1,0)</f>
        <v>0</v>
      </c>
      <c r="AA5">
        <f>IF(I5="C",1,0)</f>
        <v>0</v>
      </c>
      <c r="AB5">
        <f>IF(O5="E",1,0)</f>
        <v>0</v>
      </c>
      <c r="AC5">
        <f>IF(O5="C",1,0)</f>
        <v>0</v>
      </c>
      <c r="AE5">
        <f>J5+P5</f>
        <v>4</v>
      </c>
      <c r="AF5">
        <f>IF($C5="DF",1,0)*$AE5</f>
        <v>0</v>
      </c>
      <c r="AG5">
        <f>IF($C5="DD",1,0)*$AE5</f>
        <v>0</v>
      </c>
      <c r="AH5">
        <f>IF($C5="DS",1,0)*$AE5</f>
        <v>4</v>
      </c>
      <c r="AI5">
        <f>IF($C5="DC",1,0)*$AE5</f>
        <v>0</v>
      </c>
      <c r="AK5">
        <f>AL5+AM5</f>
        <v>1</v>
      </c>
      <c r="AL5">
        <f>IF(H5&gt;0,1,0)</f>
        <v>1</v>
      </c>
      <c r="AM5">
        <f>IF(N5&gt;0,1,0)</f>
        <v>0</v>
      </c>
    </row>
    <row r="6" spans="1:39" ht="12.75">
      <c r="A6" s="395">
        <v>2</v>
      </c>
      <c r="B6" s="398" t="s">
        <v>321</v>
      </c>
      <c r="C6" s="377" t="s">
        <v>88</v>
      </c>
      <c r="D6" s="377" t="s">
        <v>300</v>
      </c>
      <c r="E6" s="377">
        <v>2</v>
      </c>
      <c r="F6" s="377"/>
      <c r="G6" s="377">
        <v>1</v>
      </c>
      <c r="H6" s="377"/>
      <c r="I6" s="377" t="s">
        <v>81</v>
      </c>
      <c r="J6" s="377">
        <v>4</v>
      </c>
      <c r="K6" s="377"/>
      <c r="L6" s="377"/>
      <c r="M6" s="377"/>
      <c r="N6" s="377"/>
      <c r="O6" s="377"/>
      <c r="P6" s="377"/>
      <c r="Q6" s="82"/>
      <c r="R6" s="366">
        <f aca="true" t="shared" si="1" ref="R6:R14">(J6+P6)*$R$1-S6</f>
        <v>58</v>
      </c>
      <c r="S6">
        <f t="shared" si="0"/>
        <v>42</v>
      </c>
      <c r="U6">
        <f aca="true" t="shared" si="2" ref="U6:U23">IF($C6="DF",1,0)*$S6</f>
        <v>0</v>
      </c>
      <c r="V6">
        <f aca="true" t="shared" si="3" ref="V6:V23">IF($C6="DD",1,0)*$S6</f>
        <v>0</v>
      </c>
      <c r="W6">
        <f aca="true" t="shared" si="4" ref="W6:W23">IF($C6="DS",1,0)*$S6</f>
        <v>42</v>
      </c>
      <c r="X6">
        <f aca="true" t="shared" si="5" ref="X6:X23">IF($C6="DC",1,0)*$S6</f>
        <v>0</v>
      </c>
      <c r="Z6">
        <f aca="true" t="shared" si="6" ref="Z6:Z23">IF(I6="E",1,0)</f>
        <v>1</v>
      </c>
      <c r="AA6">
        <f aca="true" t="shared" si="7" ref="AA6:AA23">IF(I6="C",1,0)</f>
        <v>0</v>
      </c>
      <c r="AB6">
        <f aca="true" t="shared" si="8" ref="AB6:AB23">IF(O6="E",1,0)</f>
        <v>0</v>
      </c>
      <c r="AC6">
        <f aca="true" t="shared" si="9" ref="AC6:AC23">IF(O6="C",1,0)</f>
        <v>0</v>
      </c>
      <c r="AE6">
        <f aca="true" t="shared" si="10" ref="AE6:AE23">J6+P6</f>
        <v>4</v>
      </c>
      <c r="AF6">
        <f aca="true" t="shared" si="11" ref="AF6:AF23">IF($C6="DF",1,0)*$AE6</f>
        <v>0</v>
      </c>
      <c r="AG6">
        <f aca="true" t="shared" si="12" ref="AG6:AG23">IF($C6="DD",1,0)*$AE6</f>
        <v>0</v>
      </c>
      <c r="AH6">
        <f aca="true" t="shared" si="13" ref="AH6:AH23">IF($C6="DS",1,0)*$AE6</f>
        <v>4</v>
      </c>
      <c r="AI6">
        <f aca="true" t="shared" si="14" ref="AI6:AI23">IF($C6="DC",1,0)*$AE6</f>
        <v>0</v>
      </c>
      <c r="AK6">
        <f aca="true" t="shared" si="15" ref="AK6:AK23">AL6+AM6</f>
        <v>0</v>
      </c>
      <c r="AL6">
        <f aca="true" t="shared" si="16" ref="AL6:AL23">IF(H6&gt;0,1,0)</f>
        <v>0</v>
      </c>
      <c r="AM6">
        <f aca="true" t="shared" si="17" ref="AM6:AM23">IF(N6&gt;0,1,0)</f>
        <v>0</v>
      </c>
    </row>
    <row r="7" spans="1:39" ht="26.25">
      <c r="A7" s="395">
        <v>3</v>
      </c>
      <c r="B7" s="398" t="s">
        <v>127</v>
      </c>
      <c r="C7" s="377" t="s">
        <v>88</v>
      </c>
      <c r="D7" s="377" t="s">
        <v>300</v>
      </c>
      <c r="E7" s="377">
        <v>2</v>
      </c>
      <c r="F7" s="377"/>
      <c r="G7" s="377">
        <v>1</v>
      </c>
      <c r="H7" s="377"/>
      <c r="I7" s="377" t="s">
        <v>81</v>
      </c>
      <c r="J7" s="377">
        <v>4</v>
      </c>
      <c r="K7" s="377"/>
      <c r="L7" s="377"/>
      <c r="M7" s="377"/>
      <c r="N7" s="377"/>
      <c r="O7" s="377"/>
      <c r="P7" s="377"/>
      <c r="Q7" s="82"/>
      <c r="R7" s="366">
        <f t="shared" si="1"/>
        <v>58</v>
      </c>
      <c r="S7">
        <f t="shared" si="0"/>
        <v>42</v>
      </c>
      <c r="U7">
        <f t="shared" si="2"/>
        <v>0</v>
      </c>
      <c r="V7">
        <f t="shared" si="3"/>
        <v>0</v>
      </c>
      <c r="W7">
        <f t="shared" si="4"/>
        <v>42</v>
      </c>
      <c r="X7">
        <f t="shared" si="5"/>
        <v>0</v>
      </c>
      <c r="Z7">
        <f t="shared" si="6"/>
        <v>1</v>
      </c>
      <c r="AA7">
        <f t="shared" si="7"/>
        <v>0</v>
      </c>
      <c r="AB7">
        <f t="shared" si="8"/>
        <v>0</v>
      </c>
      <c r="AC7">
        <f t="shared" si="9"/>
        <v>0</v>
      </c>
      <c r="AE7">
        <f t="shared" si="10"/>
        <v>4</v>
      </c>
      <c r="AF7">
        <f t="shared" si="11"/>
        <v>0</v>
      </c>
      <c r="AG7">
        <f t="shared" si="12"/>
        <v>0</v>
      </c>
      <c r="AH7">
        <f t="shared" si="13"/>
        <v>4</v>
      </c>
      <c r="AI7">
        <f t="shared" si="14"/>
        <v>0</v>
      </c>
      <c r="AK7">
        <f t="shared" si="15"/>
        <v>0</v>
      </c>
      <c r="AL7">
        <f t="shared" si="16"/>
        <v>0</v>
      </c>
      <c r="AM7">
        <f t="shared" si="17"/>
        <v>0</v>
      </c>
    </row>
    <row r="8" spans="1:39" ht="26.25">
      <c r="A8" s="395">
        <v>4</v>
      </c>
      <c r="B8" s="398" t="s">
        <v>127</v>
      </c>
      <c r="C8" s="377" t="s">
        <v>88</v>
      </c>
      <c r="D8" s="377" t="s">
        <v>300</v>
      </c>
      <c r="E8" s="377"/>
      <c r="F8" s="377"/>
      <c r="G8" s="377"/>
      <c r="H8" s="377">
        <v>2</v>
      </c>
      <c r="I8" s="377" t="s">
        <v>9</v>
      </c>
      <c r="J8" s="377">
        <v>2</v>
      </c>
      <c r="K8" s="377"/>
      <c r="L8" s="377"/>
      <c r="M8" s="377"/>
      <c r="N8" s="377"/>
      <c r="O8" s="377"/>
      <c r="P8" s="377"/>
      <c r="Q8" s="82"/>
      <c r="R8" s="366">
        <f t="shared" si="1"/>
        <v>22</v>
      </c>
      <c r="S8">
        <f t="shared" si="0"/>
        <v>28</v>
      </c>
      <c r="U8">
        <f t="shared" si="2"/>
        <v>0</v>
      </c>
      <c r="V8">
        <f t="shared" si="3"/>
        <v>0</v>
      </c>
      <c r="W8">
        <f t="shared" si="4"/>
        <v>28</v>
      </c>
      <c r="X8">
        <f t="shared" si="5"/>
        <v>0</v>
      </c>
      <c r="Z8">
        <f t="shared" si="6"/>
        <v>0</v>
      </c>
      <c r="AA8">
        <f t="shared" si="7"/>
        <v>1</v>
      </c>
      <c r="AB8">
        <f t="shared" si="8"/>
        <v>0</v>
      </c>
      <c r="AC8">
        <f t="shared" si="9"/>
        <v>0</v>
      </c>
      <c r="AE8">
        <f t="shared" si="10"/>
        <v>2</v>
      </c>
      <c r="AF8">
        <f t="shared" si="11"/>
        <v>0</v>
      </c>
      <c r="AG8">
        <f t="shared" si="12"/>
        <v>0</v>
      </c>
      <c r="AH8">
        <f t="shared" si="13"/>
        <v>2</v>
      </c>
      <c r="AI8">
        <f t="shared" si="14"/>
        <v>0</v>
      </c>
      <c r="AK8">
        <f t="shared" si="15"/>
        <v>1</v>
      </c>
      <c r="AL8">
        <f t="shared" si="16"/>
        <v>1</v>
      </c>
      <c r="AM8">
        <f t="shared" si="17"/>
        <v>0</v>
      </c>
    </row>
    <row r="9" spans="1:39" ht="12.75">
      <c r="A9" s="374">
        <v>5</v>
      </c>
      <c r="B9" s="380" t="s">
        <v>322</v>
      </c>
      <c r="C9" s="376" t="s">
        <v>88</v>
      </c>
      <c r="D9" s="376" t="s">
        <v>300</v>
      </c>
      <c r="E9" s="376">
        <v>2</v>
      </c>
      <c r="F9" s="376"/>
      <c r="G9" s="376"/>
      <c r="H9" s="376">
        <v>1</v>
      </c>
      <c r="I9" s="376" t="s">
        <v>81</v>
      </c>
      <c r="J9" s="376">
        <v>4</v>
      </c>
      <c r="K9" s="376"/>
      <c r="L9" s="376"/>
      <c r="M9" s="376"/>
      <c r="N9" s="376"/>
      <c r="O9" s="376"/>
      <c r="P9" s="376"/>
      <c r="Q9" s="82"/>
      <c r="R9" s="366">
        <f t="shared" si="1"/>
        <v>58</v>
      </c>
      <c r="S9">
        <f t="shared" si="0"/>
        <v>42</v>
      </c>
      <c r="U9">
        <f t="shared" si="2"/>
        <v>0</v>
      </c>
      <c r="V9">
        <f t="shared" si="3"/>
        <v>0</v>
      </c>
      <c r="W9">
        <f t="shared" si="4"/>
        <v>42</v>
      </c>
      <c r="X9">
        <f t="shared" si="5"/>
        <v>0</v>
      </c>
      <c r="Z9">
        <f t="shared" si="6"/>
        <v>1</v>
      </c>
      <c r="AA9">
        <f t="shared" si="7"/>
        <v>0</v>
      </c>
      <c r="AB9">
        <f t="shared" si="8"/>
        <v>0</v>
      </c>
      <c r="AC9">
        <f t="shared" si="9"/>
        <v>0</v>
      </c>
      <c r="AE9">
        <f t="shared" si="10"/>
        <v>4</v>
      </c>
      <c r="AF9">
        <f t="shared" si="11"/>
        <v>0</v>
      </c>
      <c r="AG9">
        <f t="shared" si="12"/>
        <v>0</v>
      </c>
      <c r="AH9">
        <f t="shared" si="13"/>
        <v>4</v>
      </c>
      <c r="AI9">
        <f t="shared" si="14"/>
        <v>0</v>
      </c>
      <c r="AK9">
        <f t="shared" si="15"/>
        <v>1</v>
      </c>
      <c r="AL9">
        <f t="shared" si="16"/>
        <v>1</v>
      </c>
      <c r="AM9">
        <f t="shared" si="17"/>
        <v>0</v>
      </c>
    </row>
    <row r="10" spans="1:39" ht="12.75">
      <c r="A10" s="395">
        <v>6</v>
      </c>
      <c r="B10" s="398" t="s">
        <v>110</v>
      </c>
      <c r="C10" s="377" t="s">
        <v>112</v>
      </c>
      <c r="D10" s="377" t="s">
        <v>300</v>
      </c>
      <c r="E10" s="377">
        <v>2</v>
      </c>
      <c r="F10" s="377">
        <v>1</v>
      </c>
      <c r="G10" s="377"/>
      <c r="H10" s="377"/>
      <c r="I10" s="377" t="s">
        <v>9</v>
      </c>
      <c r="J10" s="377">
        <v>3</v>
      </c>
      <c r="K10" s="377"/>
      <c r="L10" s="377"/>
      <c r="M10" s="377"/>
      <c r="N10" s="377"/>
      <c r="O10" s="377"/>
      <c r="P10" s="377"/>
      <c r="Q10" s="82"/>
      <c r="R10" s="366">
        <f t="shared" si="1"/>
        <v>33</v>
      </c>
      <c r="S10">
        <f t="shared" si="0"/>
        <v>42</v>
      </c>
      <c r="U10">
        <f t="shared" si="2"/>
        <v>0</v>
      </c>
      <c r="V10">
        <f t="shared" si="3"/>
        <v>42</v>
      </c>
      <c r="W10">
        <f t="shared" si="4"/>
        <v>0</v>
      </c>
      <c r="X10">
        <f t="shared" si="5"/>
        <v>0</v>
      </c>
      <c r="Z10">
        <f t="shared" si="6"/>
        <v>0</v>
      </c>
      <c r="AA10">
        <f t="shared" si="7"/>
        <v>1</v>
      </c>
      <c r="AB10">
        <f t="shared" si="8"/>
        <v>0</v>
      </c>
      <c r="AC10">
        <f t="shared" si="9"/>
        <v>0</v>
      </c>
      <c r="AE10">
        <f t="shared" si="10"/>
        <v>3</v>
      </c>
      <c r="AF10">
        <f t="shared" si="11"/>
        <v>0</v>
      </c>
      <c r="AG10">
        <f t="shared" si="12"/>
        <v>3</v>
      </c>
      <c r="AH10">
        <f t="shared" si="13"/>
        <v>0</v>
      </c>
      <c r="AI10">
        <f t="shared" si="14"/>
        <v>0</v>
      </c>
      <c r="AK10">
        <f t="shared" si="15"/>
        <v>0</v>
      </c>
      <c r="AL10">
        <f t="shared" si="16"/>
        <v>0</v>
      </c>
      <c r="AM10">
        <f t="shared" si="17"/>
        <v>0</v>
      </c>
    </row>
    <row r="11" spans="1:39" ht="26.25">
      <c r="A11" s="395">
        <v>7</v>
      </c>
      <c r="B11" s="398" t="s">
        <v>178</v>
      </c>
      <c r="C11" s="377" t="s">
        <v>88</v>
      </c>
      <c r="D11" s="377" t="s">
        <v>300</v>
      </c>
      <c r="E11" s="377"/>
      <c r="F11" s="377"/>
      <c r="G11" s="377"/>
      <c r="H11" s="377"/>
      <c r="I11" s="377"/>
      <c r="J11" s="377"/>
      <c r="K11" s="377">
        <v>2</v>
      </c>
      <c r="L11" s="377"/>
      <c r="M11" s="377">
        <v>1</v>
      </c>
      <c r="N11" s="377"/>
      <c r="O11" s="377" t="s">
        <v>81</v>
      </c>
      <c r="P11" s="377">
        <v>3</v>
      </c>
      <c r="Q11" s="82"/>
      <c r="R11" s="366">
        <f t="shared" si="1"/>
        <v>33</v>
      </c>
      <c r="S11">
        <f t="shared" si="0"/>
        <v>42</v>
      </c>
      <c r="U11">
        <f t="shared" si="2"/>
        <v>0</v>
      </c>
      <c r="V11">
        <f t="shared" si="3"/>
        <v>0</v>
      </c>
      <c r="W11">
        <f t="shared" si="4"/>
        <v>42</v>
      </c>
      <c r="X11">
        <f t="shared" si="5"/>
        <v>0</v>
      </c>
      <c r="Z11">
        <f t="shared" si="6"/>
        <v>0</v>
      </c>
      <c r="AA11">
        <f t="shared" si="7"/>
        <v>0</v>
      </c>
      <c r="AB11">
        <f t="shared" si="8"/>
        <v>1</v>
      </c>
      <c r="AC11">
        <f t="shared" si="9"/>
        <v>0</v>
      </c>
      <c r="AE11">
        <f t="shared" si="10"/>
        <v>3</v>
      </c>
      <c r="AF11">
        <f t="shared" si="11"/>
        <v>0</v>
      </c>
      <c r="AG11">
        <f t="shared" si="12"/>
        <v>0</v>
      </c>
      <c r="AH11">
        <f t="shared" si="13"/>
        <v>3</v>
      </c>
      <c r="AI11">
        <f t="shared" si="14"/>
        <v>0</v>
      </c>
      <c r="AK11">
        <f t="shared" si="15"/>
        <v>0</v>
      </c>
      <c r="AL11">
        <f t="shared" si="16"/>
        <v>0</v>
      </c>
      <c r="AM11">
        <f t="shared" si="17"/>
        <v>0</v>
      </c>
    </row>
    <row r="12" spans="1:39" ht="26.25">
      <c r="A12" s="395">
        <v>8</v>
      </c>
      <c r="B12" s="398" t="s">
        <v>174</v>
      </c>
      <c r="C12" s="377" t="s">
        <v>88</v>
      </c>
      <c r="D12" s="377" t="s">
        <v>300</v>
      </c>
      <c r="E12" s="377"/>
      <c r="F12" s="377"/>
      <c r="G12" s="377"/>
      <c r="H12" s="377"/>
      <c r="I12" s="377"/>
      <c r="J12" s="377"/>
      <c r="K12" s="377">
        <v>2</v>
      </c>
      <c r="L12" s="377"/>
      <c r="M12" s="377">
        <v>2</v>
      </c>
      <c r="N12" s="377"/>
      <c r="O12" s="377" t="s">
        <v>81</v>
      </c>
      <c r="P12" s="377">
        <v>4</v>
      </c>
      <c r="Q12" s="394"/>
      <c r="R12" s="366">
        <f t="shared" si="1"/>
        <v>44</v>
      </c>
      <c r="S12" s="82">
        <f t="shared" si="0"/>
        <v>56</v>
      </c>
      <c r="U12">
        <f t="shared" si="2"/>
        <v>0</v>
      </c>
      <c r="V12">
        <f t="shared" si="3"/>
        <v>0</v>
      </c>
      <c r="W12">
        <f t="shared" si="4"/>
        <v>56</v>
      </c>
      <c r="X12">
        <f t="shared" si="5"/>
        <v>0</v>
      </c>
      <c r="Z12">
        <f t="shared" si="6"/>
        <v>0</v>
      </c>
      <c r="AA12">
        <f t="shared" si="7"/>
        <v>0</v>
      </c>
      <c r="AB12">
        <f t="shared" si="8"/>
        <v>1</v>
      </c>
      <c r="AC12">
        <f t="shared" si="9"/>
        <v>0</v>
      </c>
      <c r="AE12">
        <f t="shared" si="10"/>
        <v>4</v>
      </c>
      <c r="AF12">
        <f t="shared" si="11"/>
        <v>0</v>
      </c>
      <c r="AG12">
        <f t="shared" si="12"/>
        <v>0</v>
      </c>
      <c r="AH12">
        <f t="shared" si="13"/>
        <v>4</v>
      </c>
      <c r="AI12">
        <f t="shared" si="14"/>
        <v>0</v>
      </c>
      <c r="AK12">
        <f t="shared" si="15"/>
        <v>0</v>
      </c>
      <c r="AL12">
        <f t="shared" si="16"/>
        <v>0</v>
      </c>
      <c r="AM12">
        <f t="shared" si="17"/>
        <v>0</v>
      </c>
    </row>
    <row r="13" spans="1:39" ht="26.25">
      <c r="A13" s="395">
        <v>9</v>
      </c>
      <c r="B13" s="398" t="s">
        <v>174</v>
      </c>
      <c r="C13" s="377" t="s">
        <v>88</v>
      </c>
      <c r="D13" s="377" t="s">
        <v>300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>
        <v>2</v>
      </c>
      <c r="O13" s="377" t="s">
        <v>9</v>
      </c>
      <c r="P13" s="377">
        <v>3</v>
      </c>
      <c r="Q13" s="82"/>
      <c r="R13" s="366">
        <f t="shared" si="1"/>
        <v>47</v>
      </c>
      <c r="S13">
        <f t="shared" si="0"/>
        <v>28</v>
      </c>
      <c r="U13">
        <f t="shared" si="2"/>
        <v>0</v>
      </c>
      <c r="V13">
        <f t="shared" si="3"/>
        <v>0</v>
      </c>
      <c r="W13">
        <f t="shared" si="4"/>
        <v>28</v>
      </c>
      <c r="X13">
        <f t="shared" si="5"/>
        <v>0</v>
      </c>
      <c r="Z13">
        <f t="shared" si="6"/>
        <v>0</v>
      </c>
      <c r="AA13">
        <f t="shared" si="7"/>
        <v>0</v>
      </c>
      <c r="AB13">
        <f t="shared" si="8"/>
        <v>0</v>
      </c>
      <c r="AC13">
        <f t="shared" si="9"/>
        <v>1</v>
      </c>
      <c r="AE13">
        <f t="shared" si="10"/>
        <v>3</v>
      </c>
      <c r="AF13">
        <f t="shared" si="11"/>
        <v>0</v>
      </c>
      <c r="AG13">
        <f t="shared" si="12"/>
        <v>0</v>
      </c>
      <c r="AH13">
        <f t="shared" si="13"/>
        <v>3</v>
      </c>
      <c r="AI13">
        <f t="shared" si="14"/>
        <v>0</v>
      </c>
      <c r="AK13">
        <f t="shared" si="15"/>
        <v>1</v>
      </c>
      <c r="AL13">
        <f t="shared" si="16"/>
        <v>0</v>
      </c>
      <c r="AM13">
        <f t="shared" si="17"/>
        <v>1</v>
      </c>
    </row>
    <row r="14" spans="1:39" ht="12.75">
      <c r="A14" s="395">
        <v>10</v>
      </c>
      <c r="B14" s="395" t="s">
        <v>175</v>
      </c>
      <c r="C14" s="377" t="s">
        <v>88</v>
      </c>
      <c r="D14" s="377" t="s">
        <v>300</v>
      </c>
      <c r="E14" s="377"/>
      <c r="F14" s="377"/>
      <c r="G14" s="377"/>
      <c r="H14" s="377"/>
      <c r="I14" s="377"/>
      <c r="J14" s="377"/>
      <c r="K14" s="377">
        <v>2</v>
      </c>
      <c r="L14" s="377"/>
      <c r="M14" s="377">
        <v>2</v>
      </c>
      <c r="N14" s="377"/>
      <c r="O14" s="377" t="s">
        <v>81</v>
      </c>
      <c r="P14" s="377">
        <v>4</v>
      </c>
      <c r="Q14" s="82"/>
      <c r="R14" s="366">
        <f t="shared" si="1"/>
        <v>44</v>
      </c>
      <c r="S14">
        <f t="shared" si="0"/>
        <v>56</v>
      </c>
      <c r="U14">
        <f t="shared" si="2"/>
        <v>0</v>
      </c>
      <c r="V14">
        <f t="shared" si="3"/>
        <v>0</v>
      </c>
      <c r="W14">
        <f t="shared" si="4"/>
        <v>56</v>
      </c>
      <c r="X14">
        <f t="shared" si="5"/>
        <v>0</v>
      </c>
      <c r="Z14">
        <f t="shared" si="6"/>
        <v>0</v>
      </c>
      <c r="AA14">
        <f t="shared" si="7"/>
        <v>0</v>
      </c>
      <c r="AB14">
        <f t="shared" si="8"/>
        <v>1</v>
      </c>
      <c r="AC14">
        <f t="shared" si="9"/>
        <v>0</v>
      </c>
      <c r="AE14">
        <f t="shared" si="10"/>
        <v>4</v>
      </c>
      <c r="AF14">
        <f t="shared" si="11"/>
        <v>0</v>
      </c>
      <c r="AG14">
        <f t="shared" si="12"/>
        <v>0</v>
      </c>
      <c r="AH14">
        <f t="shared" si="13"/>
        <v>4</v>
      </c>
      <c r="AI14">
        <f t="shared" si="14"/>
        <v>0</v>
      </c>
      <c r="AK14">
        <f t="shared" si="15"/>
        <v>0</v>
      </c>
      <c r="AL14">
        <f t="shared" si="16"/>
        <v>0</v>
      </c>
      <c r="AM14">
        <f t="shared" si="17"/>
        <v>0</v>
      </c>
    </row>
    <row r="15" spans="1:39" ht="12.75">
      <c r="A15" s="395">
        <v>11</v>
      </c>
      <c r="B15" s="398" t="s">
        <v>323</v>
      </c>
      <c r="C15" s="377" t="s">
        <v>88</v>
      </c>
      <c r="D15" s="377" t="s">
        <v>300</v>
      </c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 t="s">
        <v>9</v>
      </c>
      <c r="P15" s="377">
        <v>3</v>
      </c>
      <c r="Q15" s="394"/>
      <c r="R15" s="399">
        <f>(J15+P15)*$R$1-S15</f>
        <v>15</v>
      </c>
      <c r="S15" s="399">
        <f>2*30</f>
        <v>60</v>
      </c>
      <c r="U15">
        <f t="shared" si="2"/>
        <v>0</v>
      </c>
      <c r="V15">
        <f t="shared" si="3"/>
        <v>0</v>
      </c>
      <c r="W15">
        <f t="shared" si="4"/>
        <v>60</v>
      </c>
      <c r="X15">
        <f t="shared" si="5"/>
        <v>0</v>
      </c>
      <c r="Z15">
        <f>IF(I15="E",1,0)</f>
        <v>0</v>
      </c>
      <c r="AA15">
        <f>IF(I15="C",1,0)</f>
        <v>0</v>
      </c>
      <c r="AB15">
        <f>IF(O15="E",1,0)</f>
        <v>0</v>
      </c>
      <c r="AC15">
        <f>IF(O15="C",1,0)</f>
        <v>1</v>
      </c>
      <c r="AE15">
        <f>J15+P15</f>
        <v>3</v>
      </c>
      <c r="AF15">
        <f t="shared" si="11"/>
        <v>0</v>
      </c>
      <c r="AG15">
        <f t="shared" si="12"/>
        <v>0</v>
      </c>
      <c r="AH15">
        <f t="shared" si="13"/>
        <v>3</v>
      </c>
      <c r="AI15">
        <f t="shared" si="14"/>
        <v>0</v>
      </c>
      <c r="AK15">
        <f>AL15+AM15</f>
        <v>0</v>
      </c>
      <c r="AL15">
        <f>IF(H15&gt;0,1,0)</f>
        <v>0</v>
      </c>
      <c r="AM15">
        <f>IF(N15&gt;0,1,0)</f>
        <v>0</v>
      </c>
    </row>
    <row r="16" spans="1:39" ht="26.25">
      <c r="A16" s="395">
        <v>12</v>
      </c>
      <c r="B16" s="398" t="s">
        <v>279</v>
      </c>
      <c r="C16" s="377" t="s">
        <v>88</v>
      </c>
      <c r="D16" s="377" t="s">
        <v>300</v>
      </c>
      <c r="E16" s="377"/>
      <c r="F16" s="377"/>
      <c r="G16" s="377"/>
      <c r="H16" s="377"/>
      <c r="I16" s="377"/>
      <c r="J16" s="377"/>
      <c r="K16" s="377"/>
      <c r="L16" s="377"/>
      <c r="M16" s="377"/>
      <c r="N16" s="377">
        <v>4</v>
      </c>
      <c r="O16" s="377" t="s">
        <v>9</v>
      </c>
      <c r="P16" s="377">
        <v>4</v>
      </c>
      <c r="Q16" s="394"/>
      <c r="R16" s="399">
        <f>(J16+P16)*$R$1-S16</f>
        <v>44</v>
      </c>
      <c r="S16" s="408">
        <f t="shared" si="0"/>
        <v>56</v>
      </c>
      <c r="U16">
        <f t="shared" si="2"/>
        <v>0</v>
      </c>
      <c r="V16">
        <f t="shared" si="3"/>
        <v>0</v>
      </c>
      <c r="W16">
        <f t="shared" si="4"/>
        <v>56</v>
      </c>
      <c r="X16">
        <f t="shared" si="5"/>
        <v>0</v>
      </c>
      <c r="Z16">
        <f>IF(I16="E",1,0)</f>
        <v>0</v>
      </c>
      <c r="AA16">
        <f>IF(I16="C",1,0)</f>
        <v>0</v>
      </c>
      <c r="AB16">
        <f>IF(O16="E",1,0)</f>
        <v>0</v>
      </c>
      <c r="AC16">
        <f>IF(O16="C",1,0)</f>
        <v>1</v>
      </c>
      <c r="AE16">
        <f>J16+P16</f>
        <v>4</v>
      </c>
      <c r="AF16">
        <f t="shared" si="11"/>
        <v>0</v>
      </c>
      <c r="AG16">
        <f t="shared" si="12"/>
        <v>0</v>
      </c>
      <c r="AH16">
        <f t="shared" si="13"/>
        <v>4</v>
      </c>
      <c r="AI16">
        <f t="shared" si="14"/>
        <v>0</v>
      </c>
      <c r="AK16">
        <f>AL16+AM16</f>
        <v>1</v>
      </c>
      <c r="AL16">
        <f>IF(H16&gt;0,1,0)</f>
        <v>0</v>
      </c>
      <c r="AM16">
        <f>IF(N16&gt;0,1,0)</f>
        <v>1</v>
      </c>
    </row>
    <row r="17" spans="1:39" ht="12.75">
      <c r="A17" s="395">
        <v>13</v>
      </c>
      <c r="B17" s="395" t="s">
        <v>324</v>
      </c>
      <c r="C17" s="377" t="s">
        <v>88</v>
      </c>
      <c r="D17" s="377" t="s">
        <v>300</v>
      </c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>
        <v>10</v>
      </c>
      <c r="Q17" s="399" t="s">
        <v>325</v>
      </c>
      <c r="R17" s="399"/>
      <c r="S17" s="399">
        <f t="shared" si="0"/>
        <v>0</v>
      </c>
      <c r="U17">
        <f t="shared" si="2"/>
        <v>0</v>
      </c>
      <c r="V17">
        <f t="shared" si="3"/>
        <v>0</v>
      </c>
      <c r="W17">
        <f t="shared" si="4"/>
        <v>0</v>
      </c>
      <c r="X17">
        <f t="shared" si="5"/>
        <v>0</v>
      </c>
      <c r="Z17">
        <f>IF(I17="E",1,0)</f>
        <v>0</v>
      </c>
      <c r="AA17">
        <f>IF(I17="C",1,0)</f>
        <v>0</v>
      </c>
      <c r="AB17">
        <f>IF(O17="E",1,0)</f>
        <v>0</v>
      </c>
      <c r="AC17">
        <f>IF(O17="C",1,0)</f>
        <v>0</v>
      </c>
      <c r="AE17">
        <f>J17+P17</f>
        <v>10</v>
      </c>
      <c r="AF17">
        <f t="shared" si="11"/>
        <v>0</v>
      </c>
      <c r="AG17">
        <f t="shared" si="12"/>
        <v>0</v>
      </c>
      <c r="AH17">
        <f t="shared" si="13"/>
        <v>10</v>
      </c>
      <c r="AI17">
        <f t="shared" si="14"/>
        <v>0</v>
      </c>
      <c r="AK17">
        <f>AL17+AM17</f>
        <v>0</v>
      </c>
      <c r="AL17">
        <f>IF(H17&gt;0,1,0)</f>
        <v>0</v>
      </c>
      <c r="AM17">
        <f>IF(N17&gt;0,1,0)</f>
        <v>0</v>
      </c>
    </row>
    <row r="18" spans="1:39" ht="12.75">
      <c r="A18" s="395">
        <v>14</v>
      </c>
      <c r="B18" s="398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82"/>
      <c r="R18" s="366">
        <f aca="true" t="shared" si="18" ref="R18:R23">(J18+P18)*$R$1-S18</f>
        <v>0</v>
      </c>
      <c r="S18">
        <f t="shared" si="0"/>
        <v>0</v>
      </c>
      <c r="U18">
        <f t="shared" si="2"/>
        <v>0</v>
      </c>
      <c r="V18">
        <f t="shared" si="3"/>
        <v>0</v>
      </c>
      <c r="W18">
        <f t="shared" si="4"/>
        <v>0</v>
      </c>
      <c r="X18">
        <f t="shared" si="5"/>
        <v>0</v>
      </c>
      <c r="Z18">
        <f t="shared" si="6"/>
        <v>0</v>
      </c>
      <c r="AA18">
        <f t="shared" si="7"/>
        <v>0</v>
      </c>
      <c r="AB18">
        <f t="shared" si="8"/>
        <v>0</v>
      </c>
      <c r="AC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K18">
        <f t="shared" si="15"/>
        <v>0</v>
      </c>
      <c r="AL18">
        <f t="shared" si="16"/>
        <v>0</v>
      </c>
      <c r="AM18">
        <f t="shared" si="17"/>
        <v>0</v>
      </c>
    </row>
    <row r="19" spans="1:39" ht="12.75">
      <c r="A19" s="391">
        <v>15</v>
      </c>
      <c r="B19" s="380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82"/>
      <c r="R19" s="366">
        <f t="shared" si="18"/>
        <v>0</v>
      </c>
      <c r="S19">
        <f t="shared" si="0"/>
        <v>0</v>
      </c>
      <c r="U19">
        <f t="shared" si="2"/>
        <v>0</v>
      </c>
      <c r="V19">
        <f t="shared" si="3"/>
        <v>0</v>
      </c>
      <c r="W19">
        <f t="shared" si="4"/>
        <v>0</v>
      </c>
      <c r="X19">
        <f t="shared" si="5"/>
        <v>0</v>
      </c>
      <c r="Z19">
        <f t="shared" si="6"/>
        <v>0</v>
      </c>
      <c r="AA19">
        <f t="shared" si="7"/>
        <v>0</v>
      </c>
      <c r="AB19">
        <f t="shared" si="8"/>
        <v>0</v>
      </c>
      <c r="AC19">
        <f t="shared" si="9"/>
        <v>0</v>
      </c>
      <c r="AE19">
        <f t="shared" si="10"/>
        <v>0</v>
      </c>
      <c r="AF19">
        <f t="shared" si="11"/>
        <v>0</v>
      </c>
      <c r="AG19">
        <f t="shared" si="12"/>
        <v>0</v>
      </c>
      <c r="AH19">
        <f t="shared" si="13"/>
        <v>0</v>
      </c>
      <c r="AI19">
        <f t="shared" si="14"/>
        <v>0</v>
      </c>
      <c r="AK19">
        <f t="shared" si="15"/>
        <v>0</v>
      </c>
      <c r="AL19">
        <f t="shared" si="16"/>
        <v>0</v>
      </c>
      <c r="AM19">
        <f t="shared" si="17"/>
        <v>0</v>
      </c>
    </row>
    <row r="20" spans="1:39" ht="12.75">
      <c r="A20" s="391">
        <v>16</v>
      </c>
      <c r="B20" s="380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R20" s="366">
        <f t="shared" si="18"/>
        <v>0</v>
      </c>
      <c r="S20">
        <f t="shared" si="0"/>
        <v>0</v>
      </c>
      <c r="U20">
        <f t="shared" si="2"/>
        <v>0</v>
      </c>
      <c r="V20">
        <f t="shared" si="3"/>
        <v>0</v>
      </c>
      <c r="W20">
        <f t="shared" si="4"/>
        <v>0</v>
      </c>
      <c r="X20">
        <f t="shared" si="5"/>
        <v>0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0</v>
      </c>
      <c r="AE20">
        <f t="shared" si="10"/>
        <v>0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0</v>
      </c>
      <c r="AK20">
        <f t="shared" si="15"/>
        <v>0</v>
      </c>
      <c r="AL20">
        <f t="shared" si="16"/>
        <v>0</v>
      </c>
      <c r="AM20">
        <f t="shared" si="17"/>
        <v>0</v>
      </c>
    </row>
    <row r="21" spans="1:39" ht="12.75">
      <c r="A21" s="391">
        <v>17</v>
      </c>
      <c r="B21" s="380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R21" s="366">
        <f t="shared" si="18"/>
        <v>0</v>
      </c>
      <c r="S21">
        <f t="shared" si="0"/>
        <v>0</v>
      </c>
      <c r="U21">
        <f t="shared" si="2"/>
        <v>0</v>
      </c>
      <c r="V21">
        <f t="shared" si="3"/>
        <v>0</v>
      </c>
      <c r="W21">
        <f t="shared" si="4"/>
        <v>0</v>
      </c>
      <c r="X21">
        <f t="shared" si="5"/>
        <v>0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0</v>
      </c>
      <c r="AE21">
        <f t="shared" si="10"/>
        <v>0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0</v>
      </c>
      <c r="AK21">
        <f t="shared" si="15"/>
        <v>0</v>
      </c>
      <c r="AL21">
        <f t="shared" si="16"/>
        <v>0</v>
      </c>
      <c r="AM21">
        <f t="shared" si="17"/>
        <v>0</v>
      </c>
    </row>
    <row r="22" spans="1:39" s="82" customFormat="1" ht="12.75">
      <c r="A22" s="374">
        <v>18</v>
      </c>
      <c r="B22" s="380"/>
      <c r="C22" s="376"/>
      <c r="D22" s="409"/>
      <c r="E22" s="410"/>
      <c r="F22" s="410"/>
      <c r="G22" s="410"/>
      <c r="H22" s="410"/>
      <c r="I22" s="410"/>
      <c r="J22" s="410"/>
      <c r="K22" s="410"/>
      <c r="L22" s="410"/>
      <c r="M22" s="410"/>
      <c r="N22" s="409"/>
      <c r="O22" s="409"/>
      <c r="P22" s="409"/>
      <c r="Q22" s="394"/>
      <c r="R22" s="366">
        <f t="shared" si="18"/>
        <v>0</v>
      </c>
      <c r="S22">
        <f t="shared" si="0"/>
        <v>0</v>
      </c>
      <c r="U22" s="82">
        <f t="shared" si="2"/>
        <v>0</v>
      </c>
      <c r="V22" s="82">
        <f t="shared" si="3"/>
        <v>0</v>
      </c>
      <c r="W22" s="82">
        <f t="shared" si="4"/>
        <v>0</v>
      </c>
      <c r="X22" s="82">
        <f t="shared" si="5"/>
        <v>0</v>
      </c>
      <c r="Z22" s="82">
        <f t="shared" si="6"/>
        <v>0</v>
      </c>
      <c r="AA22" s="82">
        <f t="shared" si="7"/>
        <v>0</v>
      </c>
      <c r="AB22" s="82">
        <f t="shared" si="8"/>
        <v>0</v>
      </c>
      <c r="AC22" s="82">
        <f t="shared" si="9"/>
        <v>0</v>
      </c>
      <c r="AE22" s="82">
        <f t="shared" si="10"/>
        <v>0</v>
      </c>
      <c r="AF22" s="82">
        <f t="shared" si="11"/>
        <v>0</v>
      </c>
      <c r="AG22" s="82">
        <f t="shared" si="12"/>
        <v>0</v>
      </c>
      <c r="AH22" s="82">
        <f t="shared" si="13"/>
        <v>0</v>
      </c>
      <c r="AI22" s="82">
        <f t="shared" si="14"/>
        <v>0</v>
      </c>
      <c r="AK22" s="82">
        <f t="shared" si="15"/>
        <v>0</v>
      </c>
      <c r="AL22" s="82">
        <f t="shared" si="16"/>
        <v>0</v>
      </c>
      <c r="AM22" s="82">
        <f t="shared" si="17"/>
        <v>0</v>
      </c>
    </row>
    <row r="23" spans="1:39" s="82" customFormat="1" ht="12.75">
      <c r="A23" s="374">
        <v>19</v>
      </c>
      <c r="B23" s="374"/>
      <c r="C23" s="376"/>
      <c r="D23" s="409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R23" s="366">
        <f t="shared" si="18"/>
        <v>0</v>
      </c>
      <c r="S23">
        <f t="shared" si="0"/>
        <v>0</v>
      </c>
      <c r="U23" s="82">
        <f t="shared" si="2"/>
        <v>0</v>
      </c>
      <c r="V23" s="82">
        <f t="shared" si="3"/>
        <v>0</v>
      </c>
      <c r="W23" s="82">
        <f t="shared" si="4"/>
        <v>0</v>
      </c>
      <c r="X23" s="82">
        <f t="shared" si="5"/>
        <v>0</v>
      </c>
      <c r="Z23" s="82">
        <f t="shared" si="6"/>
        <v>0</v>
      </c>
      <c r="AA23" s="82">
        <f t="shared" si="7"/>
        <v>0</v>
      </c>
      <c r="AB23" s="82">
        <f t="shared" si="8"/>
        <v>0</v>
      </c>
      <c r="AC23" s="82">
        <f t="shared" si="9"/>
        <v>0</v>
      </c>
      <c r="AE23" s="82">
        <f t="shared" si="10"/>
        <v>0</v>
      </c>
      <c r="AF23" s="82">
        <f t="shared" si="11"/>
        <v>0</v>
      </c>
      <c r="AG23" s="82">
        <f t="shared" si="12"/>
        <v>0</v>
      </c>
      <c r="AH23" s="82">
        <f t="shared" si="13"/>
        <v>0</v>
      </c>
      <c r="AI23" s="82">
        <f t="shared" si="14"/>
        <v>0</v>
      </c>
      <c r="AK23" s="82">
        <f t="shared" si="15"/>
        <v>0</v>
      </c>
      <c r="AL23" s="82">
        <f t="shared" si="16"/>
        <v>0</v>
      </c>
      <c r="AM23" s="82">
        <f t="shared" si="17"/>
        <v>0</v>
      </c>
    </row>
    <row r="24" spans="2:18" ht="12.75">
      <c r="B24" s="387" t="s">
        <v>304</v>
      </c>
      <c r="D24" s="369"/>
      <c r="E24">
        <f>SUM(E5:E23)</f>
        <v>10</v>
      </c>
      <c r="F24">
        <f>SUM(F5:F23)</f>
        <v>1</v>
      </c>
      <c r="G24">
        <f>SUM(G5:G23)</f>
        <v>2</v>
      </c>
      <c r="H24">
        <f>SUM(H5:H23)</f>
        <v>4</v>
      </c>
      <c r="I24" s="388">
        <f>Z25</f>
        <v>3</v>
      </c>
      <c r="J24" s="369">
        <f>SUM(J5:J23)</f>
        <v>21</v>
      </c>
      <c r="K24">
        <f>SUM(K5:K23)</f>
        <v>6</v>
      </c>
      <c r="L24">
        <f>SUM(L5:L23)</f>
        <v>0</v>
      </c>
      <c r="M24">
        <f>SUM(M5:M23)</f>
        <v>5</v>
      </c>
      <c r="N24">
        <f>SUM(N5:N23)</f>
        <v>6</v>
      </c>
      <c r="O24" s="388">
        <f>AB25</f>
        <v>3</v>
      </c>
      <c r="P24" s="369">
        <f>SUM(P5:P23)</f>
        <v>31</v>
      </c>
      <c r="R24" s="366"/>
    </row>
    <row r="25" spans="2:29" ht="12.75">
      <c r="B25" s="387"/>
      <c r="D25" s="369"/>
      <c r="E25">
        <f>E24+F24+G24+H24</f>
        <v>17</v>
      </c>
      <c r="I25" s="388">
        <f>AA25</f>
        <v>2</v>
      </c>
      <c r="J25" s="369"/>
      <c r="K25">
        <f>K24+L24+M24+N24</f>
        <v>17</v>
      </c>
      <c r="O25" s="388">
        <f>AC25</f>
        <v>3</v>
      </c>
      <c r="P25" s="369"/>
      <c r="R25" s="366">
        <f>SUM(R5:R23)-R23</f>
        <v>514</v>
      </c>
      <c r="S25">
        <f>SUM(S5:S23)</f>
        <v>536</v>
      </c>
      <c r="Z25">
        <f>SUM(Z5:Z23)</f>
        <v>3</v>
      </c>
      <c r="AA25">
        <f>SUM(AA5:AA23)</f>
        <v>2</v>
      </c>
      <c r="AB25">
        <f>SUM(AB5:AB23)</f>
        <v>3</v>
      </c>
      <c r="AC25">
        <f>SUM(AC5:AC23)</f>
        <v>3</v>
      </c>
    </row>
    <row r="26" spans="2:18" ht="12.75">
      <c r="B26" s="387"/>
      <c r="D26" s="17"/>
      <c r="I26" s="389" t="s">
        <v>305</v>
      </c>
      <c r="J26" s="17"/>
      <c r="O26" s="389" t="s">
        <v>305</v>
      </c>
      <c r="P26" s="17"/>
      <c r="R26" s="366"/>
    </row>
    <row r="27" ht="12.75">
      <c r="R27" s="366"/>
    </row>
    <row r="28" spans="1:18" ht="12.75">
      <c r="A28" s="372" t="s">
        <v>293</v>
      </c>
      <c r="B28" s="372" t="s">
        <v>13</v>
      </c>
      <c r="C28" s="372" t="s">
        <v>294</v>
      </c>
      <c r="D28" s="373" t="s">
        <v>295</v>
      </c>
      <c r="E28" s="372" t="s">
        <v>9</v>
      </c>
      <c r="F28" s="372" t="s">
        <v>10</v>
      </c>
      <c r="G28" s="372" t="s">
        <v>11</v>
      </c>
      <c r="H28" s="372" t="s">
        <v>12</v>
      </c>
      <c r="I28" s="372" t="s">
        <v>296</v>
      </c>
      <c r="J28" s="373" t="s">
        <v>297</v>
      </c>
      <c r="K28" s="372" t="s">
        <v>9</v>
      </c>
      <c r="L28" s="372" t="s">
        <v>10</v>
      </c>
      <c r="M28" s="372" t="s">
        <v>11</v>
      </c>
      <c r="N28" s="372" t="s">
        <v>12</v>
      </c>
      <c r="O28" s="372" t="s">
        <v>296</v>
      </c>
      <c r="P28" s="373" t="s">
        <v>297</v>
      </c>
      <c r="R28" s="366"/>
    </row>
    <row r="29" spans="1:39" ht="28.5" customHeight="1">
      <c r="A29" s="374">
        <v>1</v>
      </c>
      <c r="B29" s="380" t="s">
        <v>326</v>
      </c>
      <c r="C29" s="376" t="s">
        <v>88</v>
      </c>
      <c r="D29" s="376" t="s">
        <v>327</v>
      </c>
      <c r="E29" s="376">
        <v>2</v>
      </c>
      <c r="F29" s="376">
        <v>1</v>
      </c>
      <c r="G29" s="376"/>
      <c r="H29" s="376">
        <v>2</v>
      </c>
      <c r="I29" s="376" t="s">
        <v>81</v>
      </c>
      <c r="J29" s="376">
        <v>5</v>
      </c>
      <c r="K29" s="376"/>
      <c r="L29" s="376"/>
      <c r="M29" s="376"/>
      <c r="N29" s="376"/>
      <c r="O29" s="376"/>
      <c r="P29" s="376"/>
      <c r="R29" s="366">
        <f>(J29+P29)*$R$1-S29</f>
        <v>55</v>
      </c>
      <c r="S29">
        <f aca="true" t="shared" si="19" ref="S29:S38">SUM(E29:H29)*$Q$1+SUM(K29:N29)*$S$1</f>
        <v>70</v>
      </c>
      <c r="U29">
        <f aca="true" t="shared" si="20" ref="U29:U38">IF($C29="DF",1,0)*$S29</f>
        <v>0</v>
      </c>
      <c r="V29">
        <f aca="true" t="shared" si="21" ref="V29:V38">IF($C29="DD",1,0)*$S29</f>
        <v>0</v>
      </c>
      <c r="W29">
        <f aca="true" t="shared" si="22" ref="W29:W38">IF($C29="DS",1,0)*$S29</f>
        <v>70</v>
      </c>
      <c r="X29">
        <f aca="true" t="shared" si="23" ref="X29:X38">IF($C29="DC",1,0)*$S29</f>
        <v>0</v>
      </c>
      <c r="Z29">
        <f aca="true" t="shared" si="24" ref="Z29:Z38">IF(I29="E",1,0)</f>
        <v>1</v>
      </c>
      <c r="AA29">
        <f aca="true" t="shared" si="25" ref="AA29:AA38">IF(I29="C",1,0)</f>
        <v>0</v>
      </c>
      <c r="AB29">
        <f aca="true" t="shared" si="26" ref="AB29:AB38">IF(O29="E",1,0)</f>
        <v>0</v>
      </c>
      <c r="AC29">
        <f aca="true" t="shared" si="27" ref="AC29:AC38">IF(O29="C",1,0)</f>
        <v>0</v>
      </c>
      <c r="AE29">
        <f aca="true" t="shared" si="28" ref="AE29:AE38">J29+P29</f>
        <v>5</v>
      </c>
      <c r="AF29">
        <f aca="true" t="shared" si="29" ref="AF29:AF38">IF($C29="DF",1,0)*$AE29</f>
        <v>0</v>
      </c>
      <c r="AG29">
        <f aca="true" t="shared" si="30" ref="AG29:AG38">IF($C29="DD",1,0)*$AE29</f>
        <v>0</v>
      </c>
      <c r="AH29">
        <f aca="true" t="shared" si="31" ref="AH29:AH38">IF($C29="DS",1,0)*$AE29</f>
        <v>5</v>
      </c>
      <c r="AI29">
        <f aca="true" t="shared" si="32" ref="AI29:AI38">IF($C29="DC",1,0)*$AE29</f>
        <v>0</v>
      </c>
      <c r="AK29">
        <f aca="true" t="shared" si="33" ref="AK29:AK38">AL29+AM29</f>
        <v>1</v>
      </c>
      <c r="AL29">
        <f aca="true" t="shared" si="34" ref="AL29:AL38">IF(H29&gt;0,1,0)</f>
        <v>1</v>
      </c>
      <c r="AM29">
        <f aca="true" t="shared" si="35" ref="AM29:AM38">IF(N29&gt;0,1,0)</f>
        <v>0</v>
      </c>
    </row>
    <row r="30" spans="1:39" ht="26.25">
      <c r="A30" s="374">
        <v>2</v>
      </c>
      <c r="B30" s="401" t="s">
        <v>328</v>
      </c>
      <c r="C30" s="376" t="s">
        <v>88</v>
      </c>
      <c r="D30" s="376" t="s">
        <v>327</v>
      </c>
      <c r="E30" s="376">
        <v>2</v>
      </c>
      <c r="F30" s="376"/>
      <c r="G30" s="376"/>
      <c r="H30" s="376">
        <v>2</v>
      </c>
      <c r="I30" s="376" t="s">
        <v>9</v>
      </c>
      <c r="J30" s="376">
        <v>4</v>
      </c>
      <c r="K30" s="376"/>
      <c r="L30" s="376"/>
      <c r="M30" s="376"/>
      <c r="N30" s="376"/>
      <c r="O30" s="376"/>
      <c r="P30" s="376"/>
      <c r="R30" s="366">
        <f>(J30+P30)*$R$1-S30</f>
        <v>44</v>
      </c>
      <c r="S30">
        <f t="shared" si="19"/>
        <v>56</v>
      </c>
      <c r="U30">
        <f t="shared" si="20"/>
        <v>0</v>
      </c>
      <c r="V30">
        <f t="shared" si="21"/>
        <v>0</v>
      </c>
      <c r="W30">
        <f t="shared" si="22"/>
        <v>56</v>
      </c>
      <c r="X30">
        <f t="shared" si="23"/>
        <v>0</v>
      </c>
      <c r="Z30">
        <f t="shared" si="24"/>
        <v>0</v>
      </c>
      <c r="AA30">
        <f t="shared" si="25"/>
        <v>1</v>
      </c>
      <c r="AB30">
        <f t="shared" si="26"/>
        <v>0</v>
      </c>
      <c r="AC30">
        <f t="shared" si="27"/>
        <v>0</v>
      </c>
      <c r="AE30">
        <f t="shared" si="28"/>
        <v>4</v>
      </c>
      <c r="AF30">
        <f t="shared" si="29"/>
        <v>0</v>
      </c>
      <c r="AG30">
        <f t="shared" si="30"/>
        <v>0</v>
      </c>
      <c r="AH30">
        <f t="shared" si="31"/>
        <v>4</v>
      </c>
      <c r="AI30">
        <f t="shared" si="32"/>
        <v>0</v>
      </c>
      <c r="AK30">
        <f t="shared" si="33"/>
        <v>1</v>
      </c>
      <c r="AL30">
        <f t="shared" si="34"/>
        <v>1</v>
      </c>
      <c r="AM30">
        <f t="shared" si="35"/>
        <v>0</v>
      </c>
    </row>
    <row r="31" spans="1:39" ht="26.25">
      <c r="A31" s="374">
        <v>3</v>
      </c>
      <c r="B31" s="401" t="s">
        <v>329</v>
      </c>
      <c r="C31" s="376" t="s">
        <v>88</v>
      </c>
      <c r="D31" s="376" t="s">
        <v>327</v>
      </c>
      <c r="E31" s="376"/>
      <c r="F31" s="376"/>
      <c r="G31" s="376"/>
      <c r="H31" s="376"/>
      <c r="I31" s="376"/>
      <c r="J31" s="376"/>
      <c r="K31" s="376">
        <v>2</v>
      </c>
      <c r="L31" s="376"/>
      <c r="M31" s="376">
        <v>1</v>
      </c>
      <c r="N31" s="376"/>
      <c r="O31" s="376" t="s">
        <v>81</v>
      </c>
      <c r="P31" s="376">
        <v>3</v>
      </c>
      <c r="R31" s="366">
        <f>(J31+P31)*$R$1-S31</f>
        <v>33</v>
      </c>
      <c r="S31">
        <f t="shared" si="19"/>
        <v>42</v>
      </c>
      <c r="U31">
        <f t="shared" si="20"/>
        <v>0</v>
      </c>
      <c r="V31">
        <f t="shared" si="21"/>
        <v>0</v>
      </c>
      <c r="W31">
        <f t="shared" si="22"/>
        <v>42</v>
      </c>
      <c r="X31">
        <f t="shared" si="23"/>
        <v>0</v>
      </c>
      <c r="Z31">
        <f t="shared" si="24"/>
        <v>0</v>
      </c>
      <c r="AA31">
        <f t="shared" si="25"/>
        <v>0</v>
      </c>
      <c r="AB31">
        <f t="shared" si="26"/>
        <v>1</v>
      </c>
      <c r="AC31">
        <f t="shared" si="27"/>
        <v>0</v>
      </c>
      <c r="AE31">
        <f t="shared" si="28"/>
        <v>3</v>
      </c>
      <c r="AF31">
        <f t="shared" si="29"/>
        <v>0</v>
      </c>
      <c r="AG31">
        <f t="shared" si="30"/>
        <v>0</v>
      </c>
      <c r="AH31">
        <f t="shared" si="31"/>
        <v>3</v>
      </c>
      <c r="AI31">
        <f t="shared" si="32"/>
        <v>0</v>
      </c>
      <c r="AK31">
        <f t="shared" si="33"/>
        <v>0</v>
      </c>
      <c r="AL31">
        <f t="shared" si="34"/>
        <v>0</v>
      </c>
      <c r="AM31">
        <f t="shared" si="35"/>
        <v>0</v>
      </c>
    </row>
    <row r="32" spans="1:39" ht="26.25">
      <c r="A32" s="374">
        <v>4</v>
      </c>
      <c r="B32" s="380" t="s">
        <v>330</v>
      </c>
      <c r="C32" s="376" t="s">
        <v>88</v>
      </c>
      <c r="D32" s="376" t="s">
        <v>327</v>
      </c>
      <c r="E32" s="376"/>
      <c r="F32" s="376"/>
      <c r="G32" s="376"/>
      <c r="H32" s="376"/>
      <c r="I32" s="376"/>
      <c r="J32" s="376"/>
      <c r="K32" s="376">
        <v>2</v>
      </c>
      <c r="L32" s="376">
        <v>1</v>
      </c>
      <c r="M32" s="376"/>
      <c r="N32" s="376"/>
      <c r="O32" s="376" t="s">
        <v>9</v>
      </c>
      <c r="P32" s="376">
        <v>3</v>
      </c>
      <c r="R32" s="366">
        <f aca="true" t="shared" si="36" ref="R32:R38">(J32+P32)*$R$1-S32</f>
        <v>33</v>
      </c>
      <c r="S32">
        <f t="shared" si="19"/>
        <v>42</v>
      </c>
      <c r="U32">
        <f t="shared" si="20"/>
        <v>0</v>
      </c>
      <c r="V32">
        <f t="shared" si="21"/>
        <v>0</v>
      </c>
      <c r="W32">
        <f t="shared" si="22"/>
        <v>42</v>
      </c>
      <c r="X32">
        <f t="shared" si="23"/>
        <v>0</v>
      </c>
      <c r="Z32">
        <f t="shared" si="24"/>
        <v>0</v>
      </c>
      <c r="AA32">
        <f t="shared" si="25"/>
        <v>0</v>
      </c>
      <c r="AB32">
        <f t="shared" si="26"/>
        <v>0</v>
      </c>
      <c r="AC32">
        <f t="shared" si="27"/>
        <v>1</v>
      </c>
      <c r="AE32">
        <f t="shared" si="28"/>
        <v>3</v>
      </c>
      <c r="AF32">
        <f t="shared" si="29"/>
        <v>0</v>
      </c>
      <c r="AG32">
        <f t="shared" si="30"/>
        <v>0</v>
      </c>
      <c r="AH32">
        <f t="shared" si="31"/>
        <v>3</v>
      </c>
      <c r="AI32">
        <f t="shared" si="32"/>
        <v>0</v>
      </c>
      <c r="AK32">
        <f t="shared" si="33"/>
        <v>0</v>
      </c>
      <c r="AL32">
        <f t="shared" si="34"/>
        <v>0</v>
      </c>
      <c r="AM32">
        <f t="shared" si="35"/>
        <v>0</v>
      </c>
    </row>
    <row r="33" spans="1:39" ht="12.75">
      <c r="A33" s="374">
        <v>5</v>
      </c>
      <c r="B33" s="380" t="s">
        <v>331</v>
      </c>
      <c r="C33" s="376" t="s">
        <v>88</v>
      </c>
      <c r="D33" s="376" t="s">
        <v>327</v>
      </c>
      <c r="E33" s="376"/>
      <c r="F33" s="376"/>
      <c r="G33" s="376"/>
      <c r="H33" s="376"/>
      <c r="I33" s="376"/>
      <c r="J33" s="376"/>
      <c r="K33" s="376">
        <v>2</v>
      </c>
      <c r="L33" s="376"/>
      <c r="M33" s="376">
        <v>1</v>
      </c>
      <c r="N33" s="376"/>
      <c r="O33" s="376" t="s">
        <v>9</v>
      </c>
      <c r="P33" s="376">
        <v>3</v>
      </c>
      <c r="R33" s="366">
        <f t="shared" si="36"/>
        <v>33</v>
      </c>
      <c r="S33">
        <f t="shared" si="19"/>
        <v>42</v>
      </c>
      <c r="U33">
        <f t="shared" si="20"/>
        <v>0</v>
      </c>
      <c r="V33">
        <f t="shared" si="21"/>
        <v>0</v>
      </c>
      <c r="W33">
        <f t="shared" si="22"/>
        <v>42</v>
      </c>
      <c r="X33">
        <f t="shared" si="23"/>
        <v>0</v>
      </c>
      <c r="Z33">
        <f t="shared" si="24"/>
        <v>0</v>
      </c>
      <c r="AA33">
        <f t="shared" si="25"/>
        <v>0</v>
      </c>
      <c r="AB33">
        <f t="shared" si="26"/>
        <v>0</v>
      </c>
      <c r="AC33">
        <f t="shared" si="27"/>
        <v>1</v>
      </c>
      <c r="AE33">
        <f t="shared" si="28"/>
        <v>3</v>
      </c>
      <c r="AF33">
        <f t="shared" si="29"/>
        <v>0</v>
      </c>
      <c r="AG33">
        <f t="shared" si="30"/>
        <v>0</v>
      </c>
      <c r="AH33">
        <f t="shared" si="31"/>
        <v>3</v>
      </c>
      <c r="AI33">
        <f t="shared" si="32"/>
        <v>0</v>
      </c>
      <c r="AK33">
        <f t="shared" si="33"/>
        <v>0</v>
      </c>
      <c r="AL33">
        <f t="shared" si="34"/>
        <v>0</v>
      </c>
      <c r="AM33">
        <f t="shared" si="35"/>
        <v>0</v>
      </c>
    </row>
    <row r="34" spans="1:39" ht="12.75">
      <c r="A34" s="391">
        <v>6</v>
      </c>
      <c r="B34" s="380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R34" s="366">
        <f t="shared" si="36"/>
        <v>0</v>
      </c>
      <c r="S34">
        <f t="shared" si="19"/>
        <v>0</v>
      </c>
      <c r="U34">
        <f t="shared" si="20"/>
        <v>0</v>
      </c>
      <c r="V34">
        <f t="shared" si="21"/>
        <v>0</v>
      </c>
      <c r="W34">
        <f t="shared" si="22"/>
        <v>0</v>
      </c>
      <c r="X34">
        <f t="shared" si="23"/>
        <v>0</v>
      </c>
      <c r="Z34">
        <f t="shared" si="24"/>
        <v>0</v>
      </c>
      <c r="AA34">
        <f t="shared" si="25"/>
        <v>0</v>
      </c>
      <c r="AB34">
        <f t="shared" si="26"/>
        <v>0</v>
      </c>
      <c r="AC34">
        <f t="shared" si="27"/>
        <v>0</v>
      </c>
      <c r="AE34">
        <f t="shared" si="28"/>
        <v>0</v>
      </c>
      <c r="AF34">
        <f t="shared" si="29"/>
        <v>0</v>
      </c>
      <c r="AG34">
        <f t="shared" si="30"/>
        <v>0</v>
      </c>
      <c r="AH34">
        <f t="shared" si="31"/>
        <v>0</v>
      </c>
      <c r="AI34">
        <f t="shared" si="32"/>
        <v>0</v>
      </c>
      <c r="AK34">
        <f t="shared" si="33"/>
        <v>0</v>
      </c>
      <c r="AL34">
        <f t="shared" si="34"/>
        <v>0</v>
      </c>
      <c r="AM34">
        <f t="shared" si="35"/>
        <v>0</v>
      </c>
    </row>
    <row r="35" spans="1:39" ht="12.75">
      <c r="A35" s="391">
        <v>7</v>
      </c>
      <c r="B35" s="380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R35" s="366">
        <f t="shared" si="36"/>
        <v>0</v>
      </c>
      <c r="S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Z35">
        <f t="shared" si="24"/>
        <v>0</v>
      </c>
      <c r="AA35">
        <f t="shared" si="25"/>
        <v>0</v>
      </c>
      <c r="AB35">
        <f t="shared" si="26"/>
        <v>0</v>
      </c>
      <c r="AC35">
        <f t="shared" si="27"/>
        <v>0</v>
      </c>
      <c r="AE35">
        <f t="shared" si="28"/>
        <v>0</v>
      </c>
      <c r="AF35">
        <f t="shared" si="29"/>
        <v>0</v>
      </c>
      <c r="AG35">
        <f t="shared" si="30"/>
        <v>0</v>
      </c>
      <c r="AH35">
        <f t="shared" si="31"/>
        <v>0</v>
      </c>
      <c r="AI35">
        <f t="shared" si="32"/>
        <v>0</v>
      </c>
      <c r="AK35">
        <f t="shared" si="33"/>
        <v>0</v>
      </c>
      <c r="AL35">
        <f t="shared" si="34"/>
        <v>0</v>
      </c>
      <c r="AM35">
        <f t="shared" si="35"/>
        <v>0</v>
      </c>
    </row>
    <row r="36" spans="1:39" ht="12.75">
      <c r="A36" s="391">
        <v>8</v>
      </c>
      <c r="B36" s="380"/>
      <c r="C36" s="386"/>
      <c r="D36" s="386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R36" s="366">
        <f t="shared" si="36"/>
        <v>0</v>
      </c>
      <c r="S36">
        <f t="shared" si="19"/>
        <v>0</v>
      </c>
      <c r="U36">
        <f t="shared" si="20"/>
        <v>0</v>
      </c>
      <c r="V36">
        <f t="shared" si="21"/>
        <v>0</v>
      </c>
      <c r="W36">
        <f t="shared" si="22"/>
        <v>0</v>
      </c>
      <c r="X36">
        <f t="shared" si="23"/>
        <v>0</v>
      </c>
      <c r="Z36">
        <f t="shared" si="24"/>
        <v>0</v>
      </c>
      <c r="AA36">
        <f t="shared" si="25"/>
        <v>0</v>
      </c>
      <c r="AB36">
        <f t="shared" si="26"/>
        <v>0</v>
      </c>
      <c r="AC36">
        <f t="shared" si="27"/>
        <v>0</v>
      </c>
      <c r="AE36">
        <f t="shared" si="28"/>
        <v>0</v>
      </c>
      <c r="AF36">
        <f t="shared" si="29"/>
        <v>0</v>
      </c>
      <c r="AG36">
        <f t="shared" si="30"/>
        <v>0</v>
      </c>
      <c r="AH36">
        <f t="shared" si="31"/>
        <v>0</v>
      </c>
      <c r="AI36">
        <f t="shared" si="32"/>
        <v>0</v>
      </c>
      <c r="AK36">
        <f t="shared" si="33"/>
        <v>0</v>
      </c>
      <c r="AL36">
        <f t="shared" si="34"/>
        <v>0</v>
      </c>
      <c r="AM36">
        <f t="shared" si="35"/>
        <v>0</v>
      </c>
    </row>
    <row r="37" spans="1:39" ht="12.75">
      <c r="A37" s="391">
        <v>9</v>
      </c>
      <c r="B37" s="380"/>
      <c r="C37" s="386"/>
      <c r="D37" s="391"/>
      <c r="E37" s="391"/>
      <c r="F37" s="391"/>
      <c r="G37" s="391"/>
      <c r="H37" s="391"/>
      <c r="I37" s="391"/>
      <c r="J37" s="391"/>
      <c r="K37" s="386"/>
      <c r="L37" s="391"/>
      <c r="M37" s="386"/>
      <c r="N37" s="391"/>
      <c r="O37" s="386"/>
      <c r="P37" s="386"/>
      <c r="R37" s="366">
        <f t="shared" si="36"/>
        <v>0</v>
      </c>
      <c r="S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Z37">
        <f t="shared" si="24"/>
        <v>0</v>
      </c>
      <c r="AA37">
        <f t="shared" si="25"/>
        <v>0</v>
      </c>
      <c r="AB37">
        <f t="shared" si="26"/>
        <v>0</v>
      </c>
      <c r="AC37">
        <f t="shared" si="27"/>
        <v>0</v>
      </c>
      <c r="AE37">
        <f t="shared" si="28"/>
        <v>0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0</v>
      </c>
      <c r="AK37">
        <f t="shared" si="33"/>
        <v>0</v>
      </c>
      <c r="AL37">
        <f t="shared" si="34"/>
        <v>0</v>
      </c>
      <c r="AM37">
        <f t="shared" si="35"/>
        <v>0</v>
      </c>
    </row>
    <row r="38" spans="1:39" ht="12.75">
      <c r="A38" s="391">
        <v>10</v>
      </c>
      <c r="B38" s="380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R38" s="366">
        <f t="shared" si="36"/>
        <v>0</v>
      </c>
      <c r="S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  <c r="Z38">
        <f t="shared" si="24"/>
        <v>0</v>
      </c>
      <c r="AA38">
        <f t="shared" si="25"/>
        <v>0</v>
      </c>
      <c r="AB38">
        <f t="shared" si="26"/>
        <v>0</v>
      </c>
      <c r="AC38">
        <f t="shared" si="27"/>
        <v>0</v>
      </c>
      <c r="AE38">
        <f t="shared" si="28"/>
        <v>0</v>
      </c>
      <c r="AF38">
        <f t="shared" si="29"/>
        <v>0</v>
      </c>
      <c r="AG38">
        <f t="shared" si="30"/>
        <v>0</v>
      </c>
      <c r="AH38">
        <f t="shared" si="31"/>
        <v>0</v>
      </c>
      <c r="AI38">
        <f t="shared" si="32"/>
        <v>0</v>
      </c>
      <c r="AK38">
        <f t="shared" si="33"/>
        <v>0</v>
      </c>
      <c r="AL38">
        <f t="shared" si="34"/>
        <v>0</v>
      </c>
      <c r="AM38">
        <f t="shared" si="35"/>
        <v>0</v>
      </c>
    </row>
    <row r="39" spans="2:18" ht="12.75">
      <c r="B39" s="387" t="s">
        <v>306</v>
      </c>
      <c r="D39" s="369"/>
      <c r="E39">
        <f>SUM(E29:E38)</f>
        <v>4</v>
      </c>
      <c r="F39">
        <f>SUM(F29:F38)</f>
        <v>1</v>
      </c>
      <c r="G39">
        <f>SUM(G29:G38)</f>
        <v>0</v>
      </c>
      <c r="H39">
        <f>SUM(H29:H38)</f>
        <v>4</v>
      </c>
      <c r="I39" s="388">
        <f>Z40</f>
        <v>1</v>
      </c>
      <c r="J39" s="369">
        <f>SUM(J29:J38)</f>
        <v>9</v>
      </c>
      <c r="K39">
        <f>SUM(K29:K38)</f>
        <v>6</v>
      </c>
      <c r="L39">
        <f>SUM(L29:L38)</f>
        <v>1</v>
      </c>
      <c r="M39">
        <f>SUM(M29:M38)</f>
        <v>2</v>
      </c>
      <c r="N39">
        <f>SUM(N29:N38)</f>
        <v>0</v>
      </c>
      <c r="O39" s="388">
        <f>AB40</f>
        <v>1</v>
      </c>
      <c r="P39" s="369">
        <f>SUM(P29:P38)</f>
        <v>9</v>
      </c>
      <c r="R39" s="366"/>
    </row>
    <row r="40" spans="4:39" ht="12.75">
      <c r="D40" s="369"/>
      <c r="E40">
        <f>E39+F39+G39+H39</f>
        <v>9</v>
      </c>
      <c r="I40" s="388">
        <f>AA40</f>
        <v>1</v>
      </c>
      <c r="J40" s="369"/>
      <c r="K40">
        <f>K39+L39+M39+N39</f>
        <v>9</v>
      </c>
      <c r="O40" s="388">
        <f>AC40</f>
        <v>2</v>
      </c>
      <c r="P40" s="369"/>
      <c r="R40" s="366">
        <f>SUM(R29:R38)</f>
        <v>198</v>
      </c>
      <c r="S40">
        <f>SUM(S29:S38)</f>
        <v>252</v>
      </c>
      <c r="U40" s="82"/>
      <c r="V40" s="82"/>
      <c r="W40" s="82"/>
      <c r="X40" s="82"/>
      <c r="Z40">
        <f>SUM(Z29:Z38)</f>
        <v>1</v>
      </c>
      <c r="AA40">
        <f>SUM(AA29:AA38)</f>
        <v>1</v>
      </c>
      <c r="AB40">
        <f>SUM(AB29:AB38)</f>
        <v>1</v>
      </c>
      <c r="AC40">
        <f>SUM(AC29:AC38)</f>
        <v>2</v>
      </c>
      <c r="AE40">
        <f>SUM(AE5:AE38)</f>
        <v>70</v>
      </c>
      <c r="AF40">
        <f>SUM(AF5:AF38)</f>
        <v>0</v>
      </c>
      <c r="AG40">
        <f>SUM(AG5:AG38)</f>
        <v>3</v>
      </c>
      <c r="AH40">
        <f>SUM(AH5:AH38)</f>
        <v>67</v>
      </c>
      <c r="AI40">
        <f>SUM(AI5:AI38)</f>
        <v>0</v>
      </c>
      <c r="AK40">
        <f>SUM(AK5:AK38)</f>
        <v>7</v>
      </c>
      <c r="AL40">
        <f>SUM(AL5:AL38)</f>
        <v>5</v>
      </c>
      <c r="AM40">
        <f>SUM(AM5:AM38)</f>
        <v>2</v>
      </c>
    </row>
    <row r="41" spans="4:18" ht="12.75">
      <c r="D41" s="17"/>
      <c r="I41" s="389" t="s">
        <v>305</v>
      </c>
      <c r="J41" s="17"/>
      <c r="O41" s="389" t="s">
        <v>305</v>
      </c>
      <c r="P41" s="17"/>
      <c r="R41" s="366"/>
    </row>
    <row r="42" spans="18:19" ht="12.75">
      <c r="R42" s="366"/>
      <c r="S42" s="82"/>
    </row>
    <row r="43" spans="2:29" ht="12.75">
      <c r="B43" s="364" t="s">
        <v>307</v>
      </c>
      <c r="D43" s="369"/>
      <c r="E43">
        <f>E24+E39</f>
        <v>14</v>
      </c>
      <c r="F43">
        <f>F24+F39</f>
        <v>2</v>
      </c>
      <c r="G43">
        <f>G24+G39</f>
        <v>2</v>
      </c>
      <c r="H43">
        <f>H24+H39</f>
        <v>8</v>
      </c>
      <c r="I43" s="388">
        <f>Z43</f>
        <v>4</v>
      </c>
      <c r="J43" s="369">
        <f>J24+J39</f>
        <v>30</v>
      </c>
      <c r="K43">
        <f>K24+K39</f>
        <v>12</v>
      </c>
      <c r="L43">
        <f>L24+L39</f>
        <v>1</v>
      </c>
      <c r="M43">
        <f>M24+M39</f>
        <v>7</v>
      </c>
      <c r="N43">
        <f>N24+N39</f>
        <v>6</v>
      </c>
      <c r="O43" s="388">
        <f>AB43</f>
        <v>4</v>
      </c>
      <c r="P43" s="369">
        <f>P24+P39</f>
        <v>40</v>
      </c>
      <c r="R43" s="366"/>
      <c r="U43" s="82">
        <f>SUM(U5:U38)</f>
        <v>0</v>
      </c>
      <c r="V43" s="82">
        <f>SUM(V5:V38)</f>
        <v>42</v>
      </c>
      <c r="W43" s="82">
        <f>SUM(W5:W38)</f>
        <v>746</v>
      </c>
      <c r="X43" s="82">
        <f>SUM(X5:X38)</f>
        <v>0</v>
      </c>
      <c r="Z43">
        <f>Z25+Z40</f>
        <v>4</v>
      </c>
      <c r="AA43">
        <f>AA25+AA40</f>
        <v>3</v>
      </c>
      <c r="AB43">
        <f>AB25+AB40</f>
        <v>4</v>
      </c>
      <c r="AC43">
        <f>AC25+AC40</f>
        <v>5</v>
      </c>
    </row>
    <row r="44" spans="2:24" ht="12.75">
      <c r="B44" s="364"/>
      <c r="D44" s="369"/>
      <c r="E44">
        <f>E43+F43+G43+H43</f>
        <v>26</v>
      </c>
      <c r="I44" s="388">
        <f>AA43</f>
        <v>3</v>
      </c>
      <c r="J44" s="369"/>
      <c r="K44">
        <f>K43+L43+M43+N43</f>
        <v>26</v>
      </c>
      <c r="O44" s="388">
        <f>AC43</f>
        <v>5</v>
      </c>
      <c r="P44" s="369"/>
      <c r="Q44" s="392">
        <f>R44+S44</f>
        <v>1500</v>
      </c>
      <c r="R44" s="366">
        <f>R25+R40</f>
        <v>712</v>
      </c>
      <c r="S44">
        <f>S25+S40</f>
        <v>788</v>
      </c>
      <c r="U44" s="82">
        <f>SUM(U43:X43)</f>
        <v>788</v>
      </c>
      <c r="V44" s="82"/>
      <c r="W44" s="82"/>
      <c r="X44" s="82"/>
    </row>
    <row r="45" spans="2:18" ht="12.75">
      <c r="B45" s="364"/>
      <c r="D45" s="17"/>
      <c r="I45" s="389" t="s">
        <v>305</v>
      </c>
      <c r="J45" s="17"/>
      <c r="O45" s="389" t="s">
        <v>305</v>
      </c>
      <c r="P45" s="17"/>
      <c r="Q45" s="393" t="str">
        <f>IF(Q44=R1*(J43+P43-10),"OK","BAD")</f>
        <v>OK</v>
      </c>
      <c r="R45" s="366"/>
    </row>
    <row r="46" ht="12.75">
      <c r="R46" s="366"/>
    </row>
    <row r="47" spans="1:18" ht="12.75">
      <c r="A47" s="372" t="s">
        <v>293</v>
      </c>
      <c r="B47" s="372" t="s">
        <v>14</v>
      </c>
      <c r="C47" s="372" t="s">
        <v>294</v>
      </c>
      <c r="D47" s="373" t="s">
        <v>295</v>
      </c>
      <c r="E47" s="372" t="s">
        <v>9</v>
      </c>
      <c r="F47" s="372" t="s">
        <v>10</v>
      </c>
      <c r="G47" s="372" t="s">
        <v>11</v>
      </c>
      <c r="H47" s="372" t="s">
        <v>12</v>
      </c>
      <c r="I47" s="372" t="s">
        <v>296</v>
      </c>
      <c r="J47" s="373" t="s">
        <v>297</v>
      </c>
      <c r="K47" s="372" t="s">
        <v>9</v>
      </c>
      <c r="L47" s="372" t="s">
        <v>10</v>
      </c>
      <c r="M47" s="372" t="s">
        <v>11</v>
      </c>
      <c r="N47" s="372" t="s">
        <v>12</v>
      </c>
      <c r="O47" s="372" t="s">
        <v>296</v>
      </c>
      <c r="P47" s="373" t="s">
        <v>297</v>
      </c>
      <c r="R47" s="366"/>
    </row>
    <row r="48" spans="1:29" ht="12.75">
      <c r="A48" s="374">
        <v>1</v>
      </c>
      <c r="B48" s="374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R48" s="366">
        <f>(J48+P48)*$R$1-S48</f>
        <v>0</v>
      </c>
      <c r="S48">
        <f aca="true" t="shared" si="37" ref="S48:S57">SUM(E48:H48)*$Q$1+SUM(K48:N48)*$S$1</f>
        <v>0</v>
      </c>
      <c r="Z48">
        <f aca="true" t="shared" si="38" ref="Z48:Z57">IF(I48="E",1,0)</f>
        <v>0</v>
      </c>
      <c r="AA48">
        <f aca="true" t="shared" si="39" ref="AA48:AA57">IF(I48="C",1,0)</f>
        <v>0</v>
      </c>
      <c r="AB48">
        <f aca="true" t="shared" si="40" ref="AB48:AB57">IF(O48="E",1,0)</f>
        <v>0</v>
      </c>
      <c r="AC48">
        <f aca="true" t="shared" si="41" ref="AC48:AC57">IF(O48="C",1,0)</f>
        <v>0</v>
      </c>
    </row>
    <row r="49" spans="1:29" ht="12.75">
      <c r="A49" s="374">
        <v>2</v>
      </c>
      <c r="B49" s="374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R49" s="366">
        <f aca="true" t="shared" si="42" ref="R49:R57">(J49+P49)*$R$1-S49</f>
        <v>0</v>
      </c>
      <c r="S49">
        <f t="shared" si="37"/>
        <v>0</v>
      </c>
      <c r="Z49">
        <f t="shared" si="38"/>
        <v>0</v>
      </c>
      <c r="AA49">
        <f t="shared" si="39"/>
        <v>0</v>
      </c>
      <c r="AB49">
        <f t="shared" si="40"/>
        <v>0</v>
      </c>
      <c r="AC49">
        <f t="shared" si="41"/>
        <v>0</v>
      </c>
    </row>
    <row r="50" spans="1:29" ht="12.75">
      <c r="A50" s="374">
        <v>3</v>
      </c>
      <c r="B50" s="374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R50" s="366">
        <f t="shared" si="42"/>
        <v>0</v>
      </c>
      <c r="S50">
        <f t="shared" si="37"/>
        <v>0</v>
      </c>
      <c r="Z50">
        <f t="shared" si="38"/>
        <v>0</v>
      </c>
      <c r="AA50">
        <f t="shared" si="39"/>
        <v>0</v>
      </c>
      <c r="AB50">
        <f t="shared" si="40"/>
        <v>0</v>
      </c>
      <c r="AC50">
        <f t="shared" si="41"/>
        <v>0</v>
      </c>
    </row>
    <row r="51" spans="1:29" ht="12.75">
      <c r="A51" s="391">
        <v>4</v>
      </c>
      <c r="B51" s="374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R51" s="366">
        <f t="shared" si="42"/>
        <v>0</v>
      </c>
      <c r="S51">
        <f t="shared" si="37"/>
        <v>0</v>
      </c>
      <c r="Z51">
        <f t="shared" si="38"/>
        <v>0</v>
      </c>
      <c r="AA51">
        <f t="shared" si="39"/>
        <v>0</v>
      </c>
      <c r="AB51">
        <f t="shared" si="40"/>
        <v>0</v>
      </c>
      <c r="AC51">
        <f t="shared" si="41"/>
        <v>0</v>
      </c>
    </row>
    <row r="52" spans="1:29" ht="12.75">
      <c r="A52" s="391">
        <v>5</v>
      </c>
      <c r="B52" s="374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R52" s="366">
        <f t="shared" si="42"/>
        <v>0</v>
      </c>
      <c r="S52">
        <f t="shared" si="37"/>
        <v>0</v>
      </c>
      <c r="Z52">
        <f t="shared" si="38"/>
        <v>0</v>
      </c>
      <c r="AA52">
        <f t="shared" si="39"/>
        <v>0</v>
      </c>
      <c r="AB52">
        <f t="shared" si="40"/>
        <v>0</v>
      </c>
      <c r="AC52">
        <f t="shared" si="41"/>
        <v>0</v>
      </c>
    </row>
    <row r="53" spans="1:29" ht="12.75">
      <c r="A53" s="391">
        <v>6</v>
      </c>
      <c r="B53" s="374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R53" s="366">
        <f t="shared" si="42"/>
        <v>0</v>
      </c>
      <c r="S53">
        <f t="shared" si="37"/>
        <v>0</v>
      </c>
      <c r="Z53">
        <f t="shared" si="38"/>
        <v>0</v>
      </c>
      <c r="AA53">
        <f t="shared" si="39"/>
        <v>0</v>
      </c>
      <c r="AB53">
        <f t="shared" si="40"/>
        <v>0</v>
      </c>
      <c r="AC53">
        <f t="shared" si="41"/>
        <v>0</v>
      </c>
    </row>
    <row r="54" spans="1:29" ht="12.75">
      <c r="A54" s="391">
        <v>7</v>
      </c>
      <c r="B54" s="391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R54" s="366">
        <f t="shared" si="42"/>
        <v>0</v>
      </c>
      <c r="S54">
        <f t="shared" si="37"/>
        <v>0</v>
      </c>
      <c r="Z54">
        <f t="shared" si="38"/>
        <v>0</v>
      </c>
      <c r="AA54">
        <f t="shared" si="39"/>
        <v>0</v>
      </c>
      <c r="AB54">
        <f t="shared" si="40"/>
        <v>0</v>
      </c>
      <c r="AC54">
        <f t="shared" si="41"/>
        <v>0</v>
      </c>
    </row>
    <row r="55" spans="1:29" ht="12.75">
      <c r="A55" s="391">
        <v>8</v>
      </c>
      <c r="B55" s="391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R55" s="366">
        <f t="shared" si="42"/>
        <v>0</v>
      </c>
      <c r="S55">
        <f t="shared" si="37"/>
        <v>0</v>
      </c>
      <c r="Z55">
        <f t="shared" si="38"/>
        <v>0</v>
      </c>
      <c r="AA55">
        <f t="shared" si="39"/>
        <v>0</v>
      </c>
      <c r="AB55">
        <f t="shared" si="40"/>
        <v>0</v>
      </c>
      <c r="AC55">
        <f t="shared" si="41"/>
        <v>0</v>
      </c>
    </row>
    <row r="56" spans="1:29" ht="12.75">
      <c r="A56" s="391">
        <v>9</v>
      </c>
      <c r="B56" s="391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R56" s="366">
        <f t="shared" si="42"/>
        <v>0</v>
      </c>
      <c r="S56">
        <f t="shared" si="37"/>
        <v>0</v>
      </c>
      <c r="Z56">
        <f t="shared" si="38"/>
        <v>0</v>
      </c>
      <c r="AA56">
        <f t="shared" si="39"/>
        <v>0</v>
      </c>
      <c r="AB56">
        <f t="shared" si="40"/>
        <v>0</v>
      </c>
      <c r="AC56">
        <f t="shared" si="41"/>
        <v>0</v>
      </c>
    </row>
    <row r="57" spans="1:29" ht="12.75">
      <c r="A57" s="391">
        <v>10</v>
      </c>
      <c r="B57" s="391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R57" s="366">
        <f t="shared" si="42"/>
        <v>0</v>
      </c>
      <c r="S57">
        <f t="shared" si="37"/>
        <v>0</v>
      </c>
      <c r="Z57">
        <f t="shared" si="38"/>
        <v>0</v>
      </c>
      <c r="AA57">
        <f t="shared" si="39"/>
        <v>0</v>
      </c>
      <c r="AB57">
        <f t="shared" si="40"/>
        <v>0</v>
      </c>
      <c r="AC57">
        <f t="shared" si="41"/>
        <v>0</v>
      </c>
    </row>
    <row r="58" spans="2:18" ht="12.75">
      <c r="B58" s="387" t="s">
        <v>311</v>
      </c>
      <c r="D58" s="369"/>
      <c r="E58">
        <f>SUM(E48:E57)</f>
        <v>0</v>
      </c>
      <c r="F58">
        <f>SUM(F48:F57)</f>
        <v>0</v>
      </c>
      <c r="G58">
        <f>SUM(G48:G57)</f>
        <v>0</v>
      </c>
      <c r="H58">
        <f>SUM(H48:H57)</f>
        <v>0</v>
      </c>
      <c r="I58" s="388">
        <f>Z59</f>
        <v>0</v>
      </c>
      <c r="J58" s="369">
        <f>SUM(J48:J57)</f>
        <v>0</v>
      </c>
      <c r="K58">
        <f>SUM(K48:K57)</f>
        <v>0</v>
      </c>
      <c r="L58">
        <f>SUM(L48:L57)</f>
        <v>0</v>
      </c>
      <c r="M58">
        <f>SUM(M48:M57)</f>
        <v>0</v>
      </c>
      <c r="N58">
        <f>SUM(N48:N57)</f>
        <v>0</v>
      </c>
      <c r="O58" s="388">
        <f>AB59</f>
        <v>0</v>
      </c>
      <c r="P58" s="369">
        <f>SUM(P48:P57)</f>
        <v>0</v>
      </c>
      <c r="R58" s="366"/>
    </row>
    <row r="59" spans="4:79" ht="12.75">
      <c r="D59" s="369"/>
      <c r="E59">
        <f>E58+F58+G58+H58</f>
        <v>0</v>
      </c>
      <c r="I59" s="388">
        <f>AA59</f>
        <v>0</v>
      </c>
      <c r="J59" s="369"/>
      <c r="K59">
        <f>K58+L58+M58+N58</f>
        <v>0</v>
      </c>
      <c r="O59" s="388">
        <f>AC59</f>
        <v>0</v>
      </c>
      <c r="P59" s="369"/>
      <c r="Q59" s="392">
        <f>R59+S59</f>
        <v>0</v>
      </c>
      <c r="R59" s="366">
        <f>SUM(R48:R57)</f>
        <v>0</v>
      </c>
      <c r="S59">
        <f>SUM(S48:S57)</f>
        <v>0</v>
      </c>
      <c r="U59" s="82"/>
      <c r="V59" s="82"/>
      <c r="W59" s="82"/>
      <c r="X59" s="82"/>
      <c r="Y59" s="82"/>
      <c r="Z59">
        <f>SUM(Z48:Z57)</f>
        <v>0</v>
      </c>
      <c r="AA59">
        <f>SUM(AA48:AA57)</f>
        <v>0</v>
      </c>
      <c r="AB59">
        <f>SUM(AB48:AB57)</f>
        <v>0</v>
      </c>
      <c r="AC59">
        <f>SUM(AC48:AC57)</f>
        <v>0</v>
      </c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</row>
    <row r="60" spans="4:79" ht="12.75">
      <c r="D60" s="17"/>
      <c r="I60" s="389" t="s">
        <v>305</v>
      </c>
      <c r="J60" s="17"/>
      <c r="O60" s="389" t="s">
        <v>305</v>
      </c>
      <c r="P60" s="17"/>
      <c r="Q60" s="393" t="str">
        <f>IF(Q59=R1*(J58+P58),"OK","BAD")</f>
        <v>OK</v>
      </c>
      <c r="R60" s="366"/>
      <c r="U60" s="394"/>
      <c r="V60" s="394"/>
      <c r="W60" s="394"/>
      <c r="X60" s="394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</row>
    <row r="61" spans="18:79" ht="12.75">
      <c r="R61" s="366"/>
      <c r="T61" t="s">
        <v>303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</row>
    <row r="62" spans="18:79" ht="12.75">
      <c r="R62" s="366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</row>
    <row r="63" spans="18:79" ht="12.75">
      <c r="R63" s="366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</row>
    <row r="64" spans="18:79" ht="12.75">
      <c r="R64" s="366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</row>
    <row r="65" spans="18:79" ht="12.75">
      <c r="R65" s="366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</row>
    <row r="66" spans="21:79" ht="12.75"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</row>
    <row r="67" spans="21:79" ht="12.75"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9.57421875" style="0" customWidth="1"/>
    <col min="3" max="3" width="10.57421875" style="0" customWidth="1"/>
  </cols>
  <sheetData>
    <row r="1" spans="1:14" ht="12.75">
      <c r="A1" s="364" t="s">
        <v>282</v>
      </c>
      <c r="B1" s="370"/>
      <c r="C1" s="370"/>
      <c r="D1" s="364"/>
      <c r="E1" s="411"/>
      <c r="F1" s="411"/>
      <c r="G1" s="411"/>
      <c r="I1" s="365" t="s">
        <v>283</v>
      </c>
      <c r="J1" s="411"/>
      <c r="K1" s="412"/>
      <c r="L1" s="411"/>
      <c r="N1" t="s">
        <v>332</v>
      </c>
    </row>
    <row r="2" spans="1:5" ht="12.75">
      <c r="A2" s="368" t="s">
        <v>333</v>
      </c>
      <c r="B2" s="368"/>
      <c r="C2" s="368"/>
      <c r="D2" s="368"/>
      <c r="E2" s="17"/>
    </row>
    <row r="3" spans="1:5" ht="12.75">
      <c r="A3" s="17"/>
      <c r="B3" s="17"/>
      <c r="C3" s="17"/>
      <c r="D3" s="17"/>
      <c r="E3" s="17"/>
    </row>
    <row r="4" spans="1:13" ht="12.75">
      <c r="A4" s="413" t="s">
        <v>334</v>
      </c>
      <c r="B4" s="414" t="s">
        <v>82</v>
      </c>
      <c r="C4" s="414" t="s">
        <v>112</v>
      </c>
      <c r="D4" s="414" t="s">
        <v>88</v>
      </c>
      <c r="E4" s="415" t="s">
        <v>85</v>
      </c>
      <c r="F4" s="416">
        <f>SUM(F5:F8)</f>
        <v>3152</v>
      </c>
      <c r="I4" s="399" t="s">
        <v>335</v>
      </c>
      <c r="J4" s="399"/>
      <c r="K4" s="399"/>
      <c r="L4" s="399"/>
      <c r="M4" s="399"/>
    </row>
    <row r="5" spans="1:14" ht="12.75">
      <c r="A5" s="417" t="s">
        <v>2</v>
      </c>
      <c r="B5">
        <f>'[1]Anul I'!U43</f>
        <v>434</v>
      </c>
      <c r="C5">
        <f>'[1]Anul I'!V43</f>
        <v>154</v>
      </c>
      <c r="D5">
        <f>'[1]Anul I'!W43</f>
        <v>0</v>
      </c>
      <c r="E5" s="369">
        <f>'[1]Anul I'!X43</f>
        <v>140</v>
      </c>
      <c r="F5">
        <f>SUM(B5:E5)</f>
        <v>728</v>
      </c>
      <c r="I5">
        <f>F9</f>
        <v>3152</v>
      </c>
      <c r="J5">
        <f>B79</f>
        <v>240</v>
      </c>
      <c r="K5">
        <v>240</v>
      </c>
      <c r="L5" s="399">
        <f>I5-J5+K5</f>
        <v>3152</v>
      </c>
      <c r="M5" s="418" t="str">
        <f>IF(L5&gt;=3152,"OK","BAD")</f>
        <v>OK</v>
      </c>
      <c r="N5" t="s">
        <v>336</v>
      </c>
    </row>
    <row r="6" spans="1:6" ht="12.75">
      <c r="A6" s="417" t="s">
        <v>3</v>
      </c>
      <c r="B6">
        <f>'[1]Anul II'!U44</f>
        <v>126</v>
      </c>
      <c r="C6">
        <f>'[1]Anul II'!V44</f>
        <v>664</v>
      </c>
      <c r="D6">
        <f>'[1]Anul II'!W44</f>
        <v>0</v>
      </c>
      <c r="E6" s="369">
        <f>'[1]Anul II'!X44</f>
        <v>28</v>
      </c>
      <c r="F6">
        <f>SUM(B6:E6)</f>
        <v>818</v>
      </c>
    </row>
    <row r="7" spans="1:11" ht="12.75">
      <c r="A7" s="417" t="s">
        <v>4</v>
      </c>
      <c r="B7">
        <f>'[1]Anul III'!U44</f>
        <v>0</v>
      </c>
      <c r="C7">
        <f>'[1]Anul III'!V44</f>
        <v>420</v>
      </c>
      <c r="D7">
        <f>'[1]Anul III'!W44</f>
        <v>370</v>
      </c>
      <c r="E7" s="369">
        <f>'[1]Anul III'!X44</f>
        <v>28</v>
      </c>
      <c r="F7">
        <f>SUM(B7:E7)</f>
        <v>818</v>
      </c>
      <c r="I7" s="370" t="s">
        <v>337</v>
      </c>
      <c r="J7" s="370"/>
      <c r="K7" s="370"/>
    </row>
    <row r="8" spans="1:6" ht="12.75">
      <c r="A8" s="413" t="s">
        <v>67</v>
      </c>
      <c r="B8" s="414">
        <f>'[1]Anul IV'!U43</f>
        <v>0</v>
      </c>
      <c r="C8" s="414">
        <f>'[1]Anul IV'!V43</f>
        <v>42</v>
      </c>
      <c r="D8" s="414">
        <f>'[1]Anul IV'!W43</f>
        <v>746</v>
      </c>
      <c r="E8" s="415">
        <f>'[1]Anul IV'!X43</f>
        <v>0</v>
      </c>
      <c r="F8" s="419">
        <f>SUM(B8:E8)</f>
        <v>788</v>
      </c>
    </row>
    <row r="9" spans="1:10" ht="12.75">
      <c r="A9" s="420" t="s">
        <v>34</v>
      </c>
      <c r="B9">
        <f>SUM(B5:B8)</f>
        <v>560</v>
      </c>
      <c r="C9">
        <f>SUM(C5:C8)</f>
        <v>1280</v>
      </c>
      <c r="D9">
        <f>SUM(D5:D8)</f>
        <v>1116</v>
      </c>
      <c r="E9" s="369">
        <f>SUM(E5:E8)</f>
        <v>196</v>
      </c>
      <c r="F9" s="421">
        <f>SUM(B9:E9)</f>
        <v>3152</v>
      </c>
      <c r="G9" s="418" t="str">
        <f>IF(F9&gt;=3152,"OK","BAD")</f>
        <v>OK</v>
      </c>
      <c r="H9" t="s">
        <v>338</v>
      </c>
      <c r="J9" s="82"/>
    </row>
    <row r="10" spans="2:11" ht="13.5" thickBot="1">
      <c r="B10" s="422">
        <f>B9/$F$9</f>
        <v>0.17766497461928935</v>
      </c>
      <c r="C10" s="422">
        <f>C9/$F$9</f>
        <v>0.40609137055837563</v>
      </c>
      <c r="D10" s="422">
        <f>D9/$F$9</f>
        <v>0.35406091370558374</v>
      </c>
      <c r="E10" s="422">
        <f>E9/$F$9</f>
        <v>0.06218274111675127</v>
      </c>
      <c r="F10" s="421">
        <f>L5</f>
        <v>3152</v>
      </c>
      <c r="G10" s="418" t="str">
        <f>IF(L5&lt;=3376,"OK","BAD")</f>
        <v>OK</v>
      </c>
      <c r="H10" t="s">
        <v>339</v>
      </c>
      <c r="I10" s="82"/>
      <c r="J10" s="82"/>
      <c r="K10" s="82"/>
    </row>
    <row r="11" spans="2:15" ht="12.75">
      <c r="B11" s="411" t="str">
        <f>IF(B10&gt;=0.17,"OK","BAD")</f>
        <v>OK</v>
      </c>
      <c r="C11" s="411" t="str">
        <f>IF(C10&gt;=0.38,"OK","BAD")</f>
        <v>OK</v>
      </c>
      <c r="D11" s="411" t="str">
        <f>IF(D10&gt;=0.25,"OK","BAD")</f>
        <v>OK</v>
      </c>
      <c r="E11" s="411" t="str">
        <f>IF(E10&lt;=0.08,"OK","BAD")</f>
        <v>OK</v>
      </c>
      <c r="I11" s="423"/>
      <c r="J11" s="424"/>
      <c r="K11" s="424"/>
      <c r="L11" s="424"/>
      <c r="M11" s="424"/>
      <c r="N11" s="424"/>
      <c r="O11" s="425"/>
    </row>
    <row r="12" spans="2:15" ht="13.5" thickBot="1">
      <c r="B12" s="4" t="s">
        <v>340</v>
      </c>
      <c r="C12" s="4" t="s">
        <v>341</v>
      </c>
      <c r="D12" s="4" t="s">
        <v>342</v>
      </c>
      <c r="E12" s="4" t="s">
        <v>343</v>
      </c>
      <c r="I12" s="426"/>
      <c r="J12" s="427"/>
      <c r="K12" s="427"/>
      <c r="L12" s="427"/>
      <c r="M12" s="427"/>
      <c r="N12" s="427"/>
      <c r="O12" s="428"/>
    </row>
    <row r="13" spans="2:10" ht="12.75">
      <c r="B13" s="4"/>
      <c r="C13" s="4"/>
      <c r="D13" s="4"/>
      <c r="E13" s="4"/>
      <c r="I13" s="429"/>
      <c r="J13" s="429"/>
    </row>
    <row r="14" spans="9:10" ht="12.75">
      <c r="I14" s="430" t="s">
        <v>291</v>
      </c>
      <c r="J14" s="82"/>
    </row>
    <row r="15" spans="1:16" ht="12.75">
      <c r="A15" s="413" t="s">
        <v>334</v>
      </c>
      <c r="B15" s="414" t="s">
        <v>344</v>
      </c>
      <c r="C15" s="415" t="s">
        <v>345</v>
      </c>
      <c r="D15" s="414" t="s">
        <v>308</v>
      </c>
      <c r="I15" s="413" t="s">
        <v>334</v>
      </c>
      <c r="J15" s="414" t="s">
        <v>344</v>
      </c>
      <c r="K15" s="415" t="s">
        <v>345</v>
      </c>
      <c r="L15" s="431" t="s">
        <v>308</v>
      </c>
      <c r="M15" s="414" t="s">
        <v>346</v>
      </c>
      <c r="N15" s="430" t="s">
        <v>347</v>
      </c>
      <c r="O15" s="432"/>
      <c r="P15" s="432"/>
    </row>
    <row r="16" spans="1:14" ht="12.75">
      <c r="A16" s="417" t="s">
        <v>2</v>
      </c>
      <c r="B16">
        <f>'[1]Anul I'!S25</f>
        <v>728</v>
      </c>
      <c r="C16" s="369">
        <f>'[1]Anul I'!S40</f>
        <v>0</v>
      </c>
      <c r="D16">
        <f>'[1]Anul I'!S59</f>
        <v>224</v>
      </c>
      <c r="I16" s="417" t="s">
        <v>2</v>
      </c>
      <c r="J16">
        <f>'[1]Anul I'!R25</f>
        <v>772</v>
      </c>
      <c r="K16" s="369">
        <f>'[1]Anul I'!R40</f>
        <v>0</v>
      </c>
      <c r="L16" s="433">
        <f>'[1]Anul I'!R59</f>
        <v>226</v>
      </c>
      <c r="M16">
        <f>J16+K16+B85*14+C85*14+B75</f>
        <v>1500</v>
      </c>
      <c r="N16" s="434" t="str">
        <f>IF(M16='[1]Anul I'!Q44,"OK","BAD")</f>
        <v>OK</v>
      </c>
    </row>
    <row r="17" spans="1:14" ht="12.75">
      <c r="A17" s="417" t="s">
        <v>3</v>
      </c>
      <c r="B17">
        <f>'[1]Anul II'!S26</f>
        <v>818</v>
      </c>
      <c r="C17" s="369">
        <f>'[1]Anul II'!S41</f>
        <v>0</v>
      </c>
      <c r="D17">
        <f>'[1]Anul II'!S60</f>
        <v>112</v>
      </c>
      <c r="G17" t="s">
        <v>140</v>
      </c>
      <c r="I17" s="417" t="s">
        <v>3</v>
      </c>
      <c r="J17">
        <f>'[1]Anul II'!R26</f>
        <v>682</v>
      </c>
      <c r="K17" s="369">
        <f>'[1]Anul II'!R41</f>
        <v>0</v>
      </c>
      <c r="L17" s="433">
        <f>'[1]Anul II'!R60</f>
        <v>138</v>
      </c>
      <c r="M17">
        <f>J17+K17+B86*14+C86*14+B76</f>
        <v>1500</v>
      </c>
      <c r="N17" s="434" t="str">
        <f>IF(M17='[1]Anul II'!Q45,"OK","BAD")</f>
        <v>OK</v>
      </c>
    </row>
    <row r="18" spans="1:14" ht="12.75">
      <c r="A18" s="417" t="s">
        <v>4</v>
      </c>
      <c r="B18">
        <f>'[1]Anul III'!S26</f>
        <v>720</v>
      </c>
      <c r="C18" s="369">
        <f>'[1]Anul III'!S41</f>
        <v>98</v>
      </c>
      <c r="D18">
        <f>'[1]Anul III'!S60</f>
        <v>140</v>
      </c>
      <c r="G18" s="82"/>
      <c r="H18" s="82"/>
      <c r="I18" s="417" t="s">
        <v>4</v>
      </c>
      <c r="J18">
        <f>'[1]Anul III'!R26</f>
        <v>580</v>
      </c>
      <c r="K18" s="369">
        <f>'[1]Anul III'!R41</f>
        <v>102</v>
      </c>
      <c r="L18" s="433">
        <f>'[1]Anul III'!R60</f>
        <v>210</v>
      </c>
      <c r="M18">
        <f>J18+K18+B87*14+C87*14+B77</f>
        <v>1500</v>
      </c>
      <c r="N18" s="434" t="str">
        <f>IF(M18='[1]Anul III'!Q45,"OK","BAD")</f>
        <v>OK</v>
      </c>
    </row>
    <row r="19" spans="1:16" ht="12.75">
      <c r="A19" s="413" t="s">
        <v>67</v>
      </c>
      <c r="B19" s="414">
        <f>'[1]Anul IV'!S25</f>
        <v>536</v>
      </c>
      <c r="C19" s="415">
        <f>'[1]Anul IV'!S40</f>
        <v>252</v>
      </c>
      <c r="D19" s="414">
        <f>'[1]Anul IV'!S59</f>
        <v>0</v>
      </c>
      <c r="G19" s="82"/>
      <c r="H19" s="82"/>
      <c r="I19" s="413" t="s">
        <v>67</v>
      </c>
      <c r="J19" s="414">
        <f>'[1]Anul IV'!R25</f>
        <v>514</v>
      </c>
      <c r="K19" s="415">
        <f>'[1]Anul IV'!R40</f>
        <v>198</v>
      </c>
      <c r="L19" s="431">
        <f>'[1]Anul IV'!R59</f>
        <v>0</v>
      </c>
      <c r="M19" s="414">
        <f>J19+K19+B88*14+C88*14+B78</f>
        <v>1500</v>
      </c>
      <c r="N19" s="434" t="str">
        <f>IF(M19='[1]Anul IV'!Q44,"OK","BAD")</f>
        <v>OK</v>
      </c>
      <c r="O19" s="82"/>
      <c r="P19" s="82"/>
    </row>
    <row r="20" spans="1:16" ht="12.75">
      <c r="A20" s="417" t="s">
        <v>34</v>
      </c>
      <c r="B20">
        <f>SUM(B16:B19)</f>
        <v>2802</v>
      </c>
      <c r="C20" s="369">
        <f>SUM(C16:C19)</f>
        <v>350</v>
      </c>
      <c r="D20">
        <f>SUM(D16:D19)</f>
        <v>476</v>
      </c>
      <c r="G20" s="82"/>
      <c r="H20" s="82"/>
      <c r="I20" s="417" t="s">
        <v>34</v>
      </c>
      <c r="J20">
        <f>SUM(J16:J19)</f>
        <v>2548</v>
      </c>
      <c r="K20" s="369">
        <f>SUM(K16:K19)</f>
        <v>300</v>
      </c>
      <c r="L20" s="433">
        <f>SUM(L16:L19)</f>
        <v>574</v>
      </c>
      <c r="M20">
        <f>SUM(M16:M19)</f>
        <v>6000</v>
      </c>
      <c r="N20" s="82"/>
      <c r="O20" s="435"/>
      <c r="P20" s="82"/>
    </row>
    <row r="21" spans="1:13" ht="12.75">
      <c r="A21" s="369"/>
      <c r="B21" s="422">
        <f>B20/$F$9</f>
        <v>0.8889593908629442</v>
      </c>
      <c r="C21" s="436">
        <f>C20/$F$9</f>
        <v>0.11104060913705584</v>
      </c>
      <c r="D21" s="422">
        <f>D20/$F$9</f>
        <v>0.15101522842639595</v>
      </c>
      <c r="G21" s="82"/>
      <c r="H21" s="82"/>
      <c r="M21">
        <f>M20/(240+4)</f>
        <v>24.59016393442623</v>
      </c>
    </row>
    <row r="22" spans="1:12" ht="12.75">
      <c r="A22" s="369"/>
      <c r="B22" s="411" t="str">
        <f>IF(B21&lt;=0.9,"OK","BAD")</f>
        <v>OK</v>
      </c>
      <c r="C22" s="437" t="str">
        <f>IF(C21&gt;=0.1,"OK","BAD")</f>
        <v>OK</v>
      </c>
      <c r="D22" s="411" t="str">
        <f>IF(D21&gt;=0.1,"OK","BAD")</f>
        <v>OK</v>
      </c>
      <c r="E22" s="411"/>
      <c r="G22" s="82"/>
      <c r="H22" s="82"/>
      <c r="J22" t="s">
        <v>291</v>
      </c>
      <c r="K22" s="432">
        <f>J20+K20</f>
        <v>2848</v>
      </c>
      <c r="L22" s="430" t="s">
        <v>348</v>
      </c>
    </row>
    <row r="23" spans="1:12" ht="12.75">
      <c r="A23" s="369"/>
      <c r="B23" s="4" t="s">
        <v>349</v>
      </c>
      <c r="C23" s="417" t="s">
        <v>350</v>
      </c>
      <c r="D23" s="4" t="s">
        <v>350</v>
      </c>
      <c r="G23" s="82"/>
      <c r="H23" s="82"/>
      <c r="J23" t="s">
        <v>351</v>
      </c>
      <c r="K23">
        <f>F9</f>
        <v>3152</v>
      </c>
      <c r="L23" t="s">
        <v>348</v>
      </c>
    </row>
    <row r="24" spans="1:13" ht="12.75">
      <c r="A24" s="17"/>
      <c r="B24" s="4"/>
      <c r="C24" s="75"/>
      <c r="D24" s="4"/>
      <c r="G24" s="82"/>
      <c r="H24" s="82"/>
      <c r="J24" s="370" t="s">
        <v>346</v>
      </c>
      <c r="K24" s="370">
        <f>K22+K23</f>
        <v>6000</v>
      </c>
      <c r="L24" s="370" t="s">
        <v>348</v>
      </c>
      <c r="M24" s="434" t="str">
        <f>IF(K24=M16+M17+M18+M19,"OK","BAD")</f>
        <v>OK</v>
      </c>
    </row>
    <row r="25" spans="1:4" ht="12.75">
      <c r="A25" s="17"/>
      <c r="B25" s="4"/>
      <c r="C25" s="75"/>
      <c r="D25" s="4"/>
    </row>
    <row r="26" spans="1:6" ht="12.75">
      <c r="A26" s="369" t="s">
        <v>292</v>
      </c>
      <c r="B26" t="s">
        <v>78</v>
      </c>
      <c r="E26" s="369"/>
      <c r="F26" t="s">
        <v>79</v>
      </c>
    </row>
    <row r="27" spans="1:9" ht="12.75">
      <c r="A27" s="413" t="s">
        <v>334</v>
      </c>
      <c r="B27" s="414" t="s">
        <v>9</v>
      </c>
      <c r="C27" s="414" t="s">
        <v>10</v>
      </c>
      <c r="D27" s="414" t="s">
        <v>11</v>
      </c>
      <c r="E27" s="415" t="s">
        <v>12</v>
      </c>
      <c r="F27" s="414" t="s">
        <v>9</v>
      </c>
      <c r="G27" s="414" t="s">
        <v>10</v>
      </c>
      <c r="H27" s="414" t="s">
        <v>11</v>
      </c>
      <c r="I27" s="414" t="s">
        <v>12</v>
      </c>
    </row>
    <row r="28" spans="1:13" ht="12.75">
      <c r="A28" s="417" t="s">
        <v>2</v>
      </c>
      <c r="B28">
        <f>'[1]Anul I'!E43</f>
        <v>13</v>
      </c>
      <c r="C28">
        <f>'[1]Anul I'!F43</f>
        <v>7</v>
      </c>
      <c r="D28">
        <f>'[1]Anul I'!G43</f>
        <v>6</v>
      </c>
      <c r="E28" s="369">
        <f>'[1]Anul I'!H43</f>
        <v>0</v>
      </c>
      <c r="F28">
        <f>'[1]Anul I'!K43</f>
        <v>10</v>
      </c>
      <c r="G28">
        <f>'[1]Anul I'!L43</f>
        <v>7</v>
      </c>
      <c r="H28">
        <f>'[1]Anul I'!M43</f>
        <v>9</v>
      </c>
      <c r="I28">
        <f>'[1]Anul I'!N43</f>
        <v>0</v>
      </c>
      <c r="K28" s="82"/>
      <c r="L28" s="82"/>
      <c r="M28" s="82"/>
    </row>
    <row r="29" spans="1:20" ht="12.75">
      <c r="A29" s="417" t="s">
        <v>3</v>
      </c>
      <c r="B29">
        <f>'[1]Anul II'!E44</f>
        <v>14</v>
      </c>
      <c r="C29">
        <f>'[1]Anul II'!F44</f>
        <v>6</v>
      </c>
      <c r="D29">
        <f>'[1]Anul II'!G44</f>
        <v>6</v>
      </c>
      <c r="E29" s="369">
        <f>'[1]Anul II'!H44</f>
        <v>0</v>
      </c>
      <c r="F29">
        <f>'[1]Anul II'!K44</f>
        <v>10</v>
      </c>
      <c r="G29">
        <f>'[1]Anul II'!L44</f>
        <v>6</v>
      </c>
      <c r="H29">
        <f>'[1]Anul II'!M44</f>
        <v>6</v>
      </c>
      <c r="I29">
        <f>'[1]Anul II'!N44</f>
        <v>4</v>
      </c>
      <c r="K29" s="82"/>
      <c r="L29" s="82"/>
      <c r="M29" s="82"/>
      <c r="Q29" s="422"/>
      <c r="R29" s="422"/>
      <c r="S29" s="422"/>
      <c r="T29" s="422"/>
    </row>
    <row r="30" spans="1:13" ht="12.75">
      <c r="A30" s="417" t="s">
        <v>4</v>
      </c>
      <c r="B30">
        <f>'[1]Anul III'!E44</f>
        <v>14</v>
      </c>
      <c r="C30">
        <f>'[1]Anul III'!F44</f>
        <v>2</v>
      </c>
      <c r="D30">
        <f>'[1]Anul III'!G44</f>
        <v>7</v>
      </c>
      <c r="E30" s="369">
        <f>'[1]Anul III'!H44</f>
        <v>3</v>
      </c>
      <c r="F30">
        <f>'[1]Anul III'!K44</f>
        <v>14</v>
      </c>
      <c r="G30">
        <f>'[1]Anul III'!L44</f>
        <v>2</v>
      </c>
      <c r="H30">
        <f>'[1]Anul III'!M44</f>
        <v>7</v>
      </c>
      <c r="I30">
        <f>'[1]Anul III'!N44</f>
        <v>3</v>
      </c>
      <c r="K30" s="82"/>
      <c r="L30" s="82"/>
      <c r="M30" s="82"/>
    </row>
    <row r="31" spans="1:9" ht="12.75">
      <c r="A31" s="413" t="s">
        <v>67</v>
      </c>
      <c r="B31" s="414">
        <f>'[1]Anul IV'!E43</f>
        <v>14</v>
      </c>
      <c r="C31" s="414">
        <f>'[1]Anul IV'!F43</f>
        <v>2</v>
      </c>
      <c r="D31" s="414">
        <f>'[1]Anul IV'!G43</f>
        <v>2</v>
      </c>
      <c r="E31" s="415">
        <f>'[1]Anul IV'!H43</f>
        <v>8</v>
      </c>
      <c r="F31" s="414">
        <f>'[1]Anul IV'!K43</f>
        <v>12</v>
      </c>
      <c r="G31" s="414">
        <f>'[1]Anul IV'!L43</f>
        <v>1</v>
      </c>
      <c r="H31" s="414">
        <f>'[1]Anul IV'!M43</f>
        <v>7</v>
      </c>
      <c r="I31" s="414">
        <f>'[1]Anul IV'!N43</f>
        <v>6</v>
      </c>
    </row>
    <row r="32" spans="1:19" ht="12.75">
      <c r="A32" s="4"/>
      <c r="B32">
        <f>SUM(B28:B31)</f>
        <v>55</v>
      </c>
      <c r="C32">
        <f aca="true" t="shared" si="0" ref="C32:I32">SUM(C28:C31)</f>
        <v>17</v>
      </c>
      <c r="D32">
        <f t="shared" si="0"/>
        <v>21</v>
      </c>
      <c r="E32">
        <f t="shared" si="0"/>
        <v>11</v>
      </c>
      <c r="F32">
        <f t="shared" si="0"/>
        <v>46</v>
      </c>
      <c r="G32">
        <f t="shared" si="0"/>
        <v>16</v>
      </c>
      <c r="H32">
        <f t="shared" si="0"/>
        <v>29</v>
      </c>
      <c r="I32">
        <f t="shared" si="0"/>
        <v>13</v>
      </c>
      <c r="N32" s="82"/>
      <c r="O32" s="438"/>
      <c r="P32" s="82"/>
      <c r="Q32" s="82"/>
      <c r="R32" s="82"/>
      <c r="S32" s="82"/>
    </row>
    <row r="33" spans="1:19" ht="12.75">
      <c r="A33" s="4"/>
      <c r="N33" s="82"/>
      <c r="O33" s="82"/>
      <c r="P33" s="82"/>
      <c r="Q33" s="82"/>
      <c r="R33" s="82"/>
      <c r="S33" s="82"/>
    </row>
    <row r="34" spans="1:19" ht="12.75">
      <c r="A34" s="4"/>
      <c r="N34" s="82"/>
      <c r="O34" s="82"/>
      <c r="P34" s="82"/>
      <c r="Q34" s="82"/>
      <c r="R34" s="82"/>
      <c r="S34" s="82"/>
    </row>
    <row r="35" ht="12.75">
      <c r="A35" s="4"/>
    </row>
    <row r="36" spans="1:16" ht="12.75">
      <c r="A36" s="4"/>
      <c r="J36" s="411" t="s">
        <v>352</v>
      </c>
      <c r="K36" s="411"/>
      <c r="L36" s="411"/>
      <c r="M36" s="411"/>
      <c r="N36" s="411"/>
      <c r="O36" s="411"/>
      <c r="P36" s="411"/>
    </row>
    <row r="37" spans="1:12" ht="12.75">
      <c r="A37" s="4"/>
      <c r="B37" t="s">
        <v>353</v>
      </c>
      <c r="C37">
        <f>(B32+F32)*14</f>
        <v>1414</v>
      </c>
      <c r="J37" s="391" t="s">
        <v>354</v>
      </c>
      <c r="K37" s="391" t="s">
        <v>355</v>
      </c>
      <c r="L37" s="391" t="s">
        <v>356</v>
      </c>
    </row>
    <row r="38" spans="1:14" ht="12.75">
      <c r="A38" s="4"/>
      <c r="B38" t="s">
        <v>357</v>
      </c>
      <c r="C38">
        <f>F9-C37</f>
        <v>1738</v>
      </c>
      <c r="J38" s="391" t="s">
        <v>2</v>
      </c>
      <c r="K38" s="391">
        <f>'[1]Anul I'!E3</f>
        <v>9</v>
      </c>
      <c r="L38" s="391">
        <f>'[1]Anul I'!K3</f>
        <v>8</v>
      </c>
      <c r="M38" s="411" t="str">
        <f>IF(K38&lt;=10,"OK","BAD")</f>
        <v>OK</v>
      </c>
      <c r="N38" s="411" t="str">
        <f>IF(L38&lt;=10,"OK","BAD")</f>
        <v>OK</v>
      </c>
    </row>
    <row r="39" spans="1:14" ht="12.75">
      <c r="A39" s="4"/>
      <c r="B39" t="s">
        <v>358</v>
      </c>
      <c r="E39">
        <f>C37+C38</f>
        <v>3152</v>
      </c>
      <c r="J39" s="391" t="s">
        <v>3</v>
      </c>
      <c r="K39" s="391">
        <f>'[1]Anul II'!E3</f>
        <v>8</v>
      </c>
      <c r="L39" s="391">
        <f>'[1]Anul II'!K3</f>
        <v>8</v>
      </c>
      <c r="M39" s="411" t="str">
        <f aca="true" t="shared" si="1" ref="M39:N41">IF(K39&lt;=10,"OK","BAD")</f>
        <v>OK</v>
      </c>
      <c r="N39" s="411" t="str">
        <f t="shared" si="1"/>
        <v>OK</v>
      </c>
    </row>
    <row r="40" spans="2:14" ht="12.75">
      <c r="B40" s="387" t="s">
        <v>359</v>
      </c>
      <c r="C40" s="439">
        <f>C37/C38</f>
        <v>0.8135788262370541</v>
      </c>
      <c r="J40" s="391" t="s">
        <v>4</v>
      </c>
      <c r="K40" s="391">
        <f>'[1]Anul III'!E3</f>
        <v>7</v>
      </c>
      <c r="L40" s="391">
        <f>'[1]Anul III'!K3</f>
        <v>8</v>
      </c>
      <c r="M40" s="411" t="str">
        <f t="shared" si="1"/>
        <v>OK</v>
      </c>
      <c r="N40" s="411" t="str">
        <f t="shared" si="1"/>
        <v>OK</v>
      </c>
    </row>
    <row r="41" spans="3:14" ht="12.75">
      <c r="C41" s="422">
        <f>1-C40</f>
        <v>0.18642117376294587</v>
      </c>
      <c r="D41" s="411" t="str">
        <f>IF(ABS(C41)&lt;=0.2,"OK","BAD")</f>
        <v>OK</v>
      </c>
      <c r="J41" s="391" t="s">
        <v>67</v>
      </c>
      <c r="K41" s="391">
        <f>'[1]Anul IV'!E3</f>
        <v>8</v>
      </c>
      <c r="L41" s="391">
        <f>'[1]Anul IV'!K3</f>
        <v>6</v>
      </c>
      <c r="M41" s="411" t="str">
        <f t="shared" si="1"/>
        <v>OK</v>
      </c>
      <c r="N41" s="411" t="str">
        <f t="shared" si="1"/>
        <v>OK</v>
      </c>
    </row>
    <row r="42" ht="12.75">
      <c r="D42" s="4" t="s">
        <v>360</v>
      </c>
    </row>
    <row r="43" ht="12.75">
      <c r="D43" s="4"/>
    </row>
    <row r="44" ht="12.75">
      <c r="D44" s="4"/>
    </row>
    <row r="45" spans="1:18" ht="12.75">
      <c r="A45" t="s">
        <v>361</v>
      </c>
      <c r="B45" s="17" t="s">
        <v>78</v>
      </c>
      <c r="C45" s="17"/>
      <c r="D45" s="17"/>
      <c r="E45" s="369"/>
      <c r="F45" s="17" t="s">
        <v>79</v>
      </c>
      <c r="G45" s="17"/>
      <c r="H45" s="17"/>
      <c r="I45" s="369"/>
      <c r="O45" s="391" t="s">
        <v>362</v>
      </c>
      <c r="P45" s="391"/>
      <c r="Q45" s="391"/>
      <c r="R45" s="391"/>
    </row>
    <row r="46" spans="1:18" ht="12.75">
      <c r="A46" s="413" t="s">
        <v>334</v>
      </c>
      <c r="B46" s="414" t="s">
        <v>344</v>
      </c>
      <c r="C46" s="414" t="s">
        <v>345</v>
      </c>
      <c r="D46" s="414" t="s">
        <v>34</v>
      </c>
      <c r="E46" s="440" t="s">
        <v>308</v>
      </c>
      <c r="F46" s="414" t="s">
        <v>344</v>
      </c>
      <c r="G46" s="414" t="s">
        <v>345</v>
      </c>
      <c r="H46" s="414" t="s">
        <v>34</v>
      </c>
      <c r="I46" s="440" t="s">
        <v>308</v>
      </c>
      <c r="O46" s="391" t="s">
        <v>82</v>
      </c>
      <c r="P46" s="391" t="s">
        <v>112</v>
      </c>
      <c r="Q46" s="391" t="s">
        <v>88</v>
      </c>
      <c r="R46" s="391" t="s">
        <v>85</v>
      </c>
    </row>
    <row r="47" spans="1:18" ht="12.75">
      <c r="A47" s="417" t="s">
        <v>2</v>
      </c>
      <c r="B47">
        <f>'[1]Anul I'!$J$24</f>
        <v>30</v>
      </c>
      <c r="C47">
        <f>'[1]Anul I'!$J$39</f>
        <v>0</v>
      </c>
      <c r="D47" s="17">
        <f>B47+C47</f>
        <v>30</v>
      </c>
      <c r="E47" s="369">
        <f>'[1]Anul I'!$J$58</f>
        <v>13</v>
      </c>
      <c r="F47">
        <f>'[1]Anul I'!$P$24</f>
        <v>30</v>
      </c>
      <c r="G47">
        <f>'[1]Anul I'!$P$39</f>
        <v>0</v>
      </c>
      <c r="H47" s="17">
        <f>F47+G47</f>
        <v>30</v>
      </c>
      <c r="I47" s="369">
        <f>'[1]Anul I'!$P$58</f>
        <v>5</v>
      </c>
      <c r="O47" s="391">
        <f>'[1]Anul I'!AF40</f>
        <v>36</v>
      </c>
      <c r="P47" s="391">
        <f>'[1]Anul I'!AG40</f>
        <v>14</v>
      </c>
      <c r="Q47" s="391">
        <f>'[1]Anul I'!AH40</f>
        <v>0</v>
      </c>
      <c r="R47" s="391">
        <f>'[1]Anul I'!AI40</f>
        <v>10</v>
      </c>
    </row>
    <row r="48" spans="1:22" ht="12.75">
      <c r="A48" s="417" t="s">
        <v>3</v>
      </c>
      <c r="B48">
        <f>'[1]Anul II'!$J$25</f>
        <v>30</v>
      </c>
      <c r="C48">
        <f>'[1]Anul II'!$J$40</f>
        <v>0</v>
      </c>
      <c r="D48" s="17">
        <f>B48+C48</f>
        <v>30</v>
      </c>
      <c r="E48" s="369">
        <f>'[1]Anul II'!$J$59</f>
        <v>5</v>
      </c>
      <c r="F48">
        <f>'[1]Anul II'!$P$25</f>
        <v>30</v>
      </c>
      <c r="G48">
        <f>'[1]Anul II'!$P$40</f>
        <v>0</v>
      </c>
      <c r="H48" s="17">
        <f>F48+G48</f>
        <v>30</v>
      </c>
      <c r="I48" s="369">
        <f>'[1]Anul II'!$P$59</f>
        <v>5</v>
      </c>
      <c r="K48" s="422"/>
      <c r="L48" s="422"/>
      <c r="M48" s="422"/>
      <c r="N48" s="422"/>
      <c r="O48" s="391">
        <f>'[1]Anul II'!AF41</f>
        <v>10</v>
      </c>
      <c r="P48" s="391">
        <f>'[1]Anul II'!AG41</f>
        <v>48</v>
      </c>
      <c r="Q48" s="391">
        <f>'[1]Anul II'!AH41</f>
        <v>0</v>
      </c>
      <c r="R48" s="391">
        <f>'[1]Anul II'!AI41</f>
        <v>2</v>
      </c>
      <c r="S48" s="422"/>
      <c r="T48" s="422"/>
      <c r="U48" s="422"/>
      <c r="V48" s="422"/>
    </row>
    <row r="49" spans="1:18" ht="12.75">
      <c r="A49" s="417" t="s">
        <v>4</v>
      </c>
      <c r="B49">
        <f>'[1]Anul III'!$J$25</f>
        <v>26</v>
      </c>
      <c r="C49">
        <f>'[1]Anul III'!$J$40</f>
        <v>4</v>
      </c>
      <c r="D49" s="17">
        <f>B49+C49</f>
        <v>30</v>
      </c>
      <c r="E49" s="369">
        <f>'[1]Anul III'!$J$59</f>
        <v>4</v>
      </c>
      <c r="F49">
        <f>'[1]Anul III'!$P$25</f>
        <v>26</v>
      </c>
      <c r="G49">
        <f>'[1]Anul III'!$P$40</f>
        <v>4</v>
      </c>
      <c r="H49" s="17">
        <f>F49+G49</f>
        <v>30</v>
      </c>
      <c r="I49" s="369">
        <f>'[1]Anul III'!$P$59</f>
        <v>10</v>
      </c>
      <c r="O49" s="391">
        <f>'[1]Anul III'!AF41</f>
        <v>0</v>
      </c>
      <c r="P49" s="391">
        <f>'[1]Anul III'!AG41</f>
        <v>31</v>
      </c>
      <c r="Q49" s="391">
        <f>'[1]Anul III'!AH41</f>
        <v>27</v>
      </c>
      <c r="R49" s="391">
        <f>'[1]Anul III'!AI41</f>
        <v>2</v>
      </c>
    </row>
    <row r="50" spans="1:18" ht="12.75">
      <c r="A50" s="413" t="s">
        <v>67</v>
      </c>
      <c r="B50" s="419">
        <f>'[1]Anul IV'!$J$24</f>
        <v>21</v>
      </c>
      <c r="C50" s="414">
        <f>'[1]Anul IV'!$J$39</f>
        <v>9</v>
      </c>
      <c r="D50" s="414">
        <f>B50+C50</f>
        <v>30</v>
      </c>
      <c r="E50" s="415">
        <f>'[1]Anul IV'!$J$58</f>
        <v>0</v>
      </c>
      <c r="F50" s="414">
        <f>'[1]Anul IV'!$P$24</f>
        <v>31</v>
      </c>
      <c r="G50" s="414">
        <f>'[1]Anul IV'!$P$39</f>
        <v>9</v>
      </c>
      <c r="H50" s="414">
        <f>F50+G50</f>
        <v>40</v>
      </c>
      <c r="I50" s="415">
        <f>'[1]Anul IV'!$P$58</f>
        <v>0</v>
      </c>
      <c r="O50" s="391">
        <f>'[1]Anul IV'!AF40</f>
        <v>0</v>
      </c>
      <c r="P50" s="391">
        <f>'[1]Anul IV'!AG40</f>
        <v>3</v>
      </c>
      <c r="Q50" s="391">
        <f>'[1]Anul IV'!AH40-10</f>
        <v>57</v>
      </c>
      <c r="R50" s="391">
        <f>'[1]Anul IV'!AI40</f>
        <v>0</v>
      </c>
    </row>
    <row r="51" spans="2:19" ht="12.75">
      <c r="B51" s="441">
        <f aca="true" t="shared" si="2" ref="B51:I51">SUM(B47:B50)</f>
        <v>107</v>
      </c>
      <c r="C51" s="441">
        <f t="shared" si="2"/>
        <v>13</v>
      </c>
      <c r="D51" s="441">
        <f t="shared" si="2"/>
        <v>120</v>
      </c>
      <c r="E51" s="442">
        <f t="shared" si="2"/>
        <v>22</v>
      </c>
      <c r="F51" s="441">
        <f t="shared" si="2"/>
        <v>117</v>
      </c>
      <c r="G51" s="441">
        <f t="shared" si="2"/>
        <v>13</v>
      </c>
      <c r="H51" s="441">
        <f t="shared" si="2"/>
        <v>130</v>
      </c>
      <c r="I51" s="441">
        <f t="shared" si="2"/>
        <v>20</v>
      </c>
      <c r="O51" s="4">
        <f>SUM(O47:O50)</f>
        <v>46</v>
      </c>
      <c r="P51" s="4">
        <f>SUM(P47:P50)</f>
        <v>96</v>
      </c>
      <c r="Q51" s="4">
        <f>SUM(Q47:Q50)</f>
        <v>84</v>
      </c>
      <c r="R51" s="4">
        <f>SUM(R47:R50)</f>
        <v>14</v>
      </c>
      <c r="S51">
        <f>SUM(O51:R51)</f>
        <v>240</v>
      </c>
    </row>
    <row r="52" spans="4:18" ht="12.75">
      <c r="D52" s="441"/>
      <c r="E52" s="441"/>
      <c r="H52" s="441"/>
      <c r="I52" s="441"/>
      <c r="K52" s="443" t="s">
        <v>344</v>
      </c>
      <c r="L52" s="391">
        <f>B51+F51-10</f>
        <v>214</v>
      </c>
      <c r="M52" s="444">
        <f>L52/240</f>
        <v>0.8916666666666667</v>
      </c>
      <c r="O52" s="445">
        <f>O51/$S$51</f>
        <v>0.19166666666666668</v>
      </c>
      <c r="P52" s="445">
        <f>P51/$S$51</f>
        <v>0.4</v>
      </c>
      <c r="Q52" s="445">
        <f>Q51/$S$51</f>
        <v>0.35</v>
      </c>
      <c r="R52" s="445">
        <f>R51/$S$51</f>
        <v>0.058333333333333334</v>
      </c>
    </row>
    <row r="53" spans="2:13" ht="12.75">
      <c r="B53" t="s">
        <v>363</v>
      </c>
      <c r="C53">
        <f>D51+H51</f>
        <v>250</v>
      </c>
      <c r="D53" s="411" t="str">
        <f>IF(C53=240+10,"OK","BAD")</f>
        <v>OK</v>
      </c>
      <c r="E53" s="411" t="s">
        <v>364</v>
      </c>
      <c r="F53" s="411"/>
      <c r="G53" s="82"/>
      <c r="H53" s="82"/>
      <c r="I53" s="82"/>
      <c r="J53" s="82"/>
      <c r="K53" s="443" t="s">
        <v>345</v>
      </c>
      <c r="L53" s="391">
        <f>C51+G51</f>
        <v>26</v>
      </c>
      <c r="M53" s="444">
        <f>L53/240</f>
        <v>0.10833333333333334</v>
      </c>
    </row>
    <row r="54" spans="2:3" ht="12.75">
      <c r="B54" t="s">
        <v>308</v>
      </c>
      <c r="C54">
        <f>E51+I51</f>
        <v>42</v>
      </c>
    </row>
    <row r="57" spans="1:7" ht="12.75">
      <c r="A57" t="s">
        <v>365</v>
      </c>
      <c r="B57" t="s">
        <v>78</v>
      </c>
      <c r="D57" s="369"/>
      <c r="E57" t="s">
        <v>79</v>
      </c>
      <c r="G57" s="369"/>
    </row>
    <row r="58" spans="1:7" ht="12.75">
      <c r="A58" s="413" t="s">
        <v>334</v>
      </c>
      <c r="B58" s="419" t="s">
        <v>81</v>
      </c>
      <c r="C58" s="414" t="s">
        <v>9</v>
      </c>
      <c r="D58" s="415" t="s">
        <v>308</v>
      </c>
      <c r="E58" s="414" t="s">
        <v>81</v>
      </c>
      <c r="F58" s="414" t="s">
        <v>9</v>
      </c>
      <c r="G58" s="415" t="s">
        <v>308</v>
      </c>
    </row>
    <row r="59" spans="1:7" ht="12.75">
      <c r="A59" s="417" t="s">
        <v>2</v>
      </c>
      <c r="B59">
        <f>'[1]Anul I'!$I$43</f>
        <v>5</v>
      </c>
      <c r="C59">
        <f>'[1]Anul I'!$I$44</f>
        <v>4</v>
      </c>
      <c r="D59" s="369">
        <f>'[1]Anul I'!$I$58+'[1]Anul I'!$I$59</f>
        <v>3</v>
      </c>
      <c r="E59">
        <f>'[1]Anul I'!$O$43</f>
        <v>4</v>
      </c>
      <c r="F59">
        <f>'[1]Anul I'!$O$44</f>
        <v>4</v>
      </c>
      <c r="G59" s="369">
        <f>'[1]Anul I'!$O$58+'[1]Anul I'!$O$59</f>
        <v>1</v>
      </c>
    </row>
    <row r="60" spans="1:7" ht="12.75">
      <c r="A60" s="417" t="s">
        <v>3</v>
      </c>
      <c r="B60">
        <f>'[1]Anul II'!$I$44</f>
        <v>6</v>
      </c>
      <c r="C60">
        <f>'[1]Anul II'!$I$45</f>
        <v>2</v>
      </c>
      <c r="D60" s="369">
        <f>'[1]Anul II'!$I$59+'[1]Anul II'!$I$60</f>
        <v>1</v>
      </c>
      <c r="E60">
        <f>'[1]Anul II'!$O$44</f>
        <v>4</v>
      </c>
      <c r="F60">
        <f>'[1]Anul II'!$O$45</f>
        <v>5</v>
      </c>
      <c r="G60" s="369">
        <f>'[1]Anul II'!$O$59+'[1]Anul II'!$O$60</f>
        <v>1</v>
      </c>
    </row>
    <row r="61" spans="1:7" ht="12.75">
      <c r="A61" s="417" t="s">
        <v>4</v>
      </c>
      <c r="B61">
        <f>'[1]Anul III'!$I$44</f>
        <v>4</v>
      </c>
      <c r="C61">
        <f>'[1]Anul III'!$I$45</f>
        <v>4</v>
      </c>
      <c r="D61" s="369">
        <f>'[1]Anul III'!$I$59+'[1]Anul III'!$I$60</f>
        <v>2</v>
      </c>
      <c r="E61">
        <f>'[1]Anul III'!$O$44</f>
        <v>5</v>
      </c>
      <c r="F61">
        <f>'[1]Anul III'!$O$45</f>
        <v>5</v>
      </c>
      <c r="G61" s="369">
        <f>'[1]Anul III'!$O$59+'[1]Anul III'!$O$60</f>
        <v>3</v>
      </c>
    </row>
    <row r="62" spans="1:7" ht="12.75">
      <c r="A62" s="413" t="s">
        <v>67</v>
      </c>
      <c r="B62" s="419">
        <f>'[1]Anul IV'!$I$43</f>
        <v>4</v>
      </c>
      <c r="C62" s="414">
        <f>'[1]Anul IV'!$I$44</f>
        <v>3</v>
      </c>
      <c r="D62" s="415">
        <f>'[1]Anul IV'!$I$58+'[1]Anul IV'!$I$59</f>
        <v>0</v>
      </c>
      <c r="E62" s="414">
        <f>'[1]Anul IV'!$O$43</f>
        <v>4</v>
      </c>
      <c r="F62" s="414">
        <f>'[1]Anul IV'!$O$44</f>
        <v>5</v>
      </c>
      <c r="G62" s="415">
        <f>'[1]Anul IV'!$O$58+'[1]Anul IV'!$O$59</f>
        <v>0</v>
      </c>
    </row>
    <row r="63" spans="1:7" ht="12.75">
      <c r="A63" s="446"/>
      <c r="B63">
        <f aca="true" t="shared" si="3" ref="B63:G63">SUM(B59:B62)</f>
        <v>19</v>
      </c>
      <c r="C63">
        <f t="shared" si="3"/>
        <v>13</v>
      </c>
      <c r="D63" s="446">
        <f t="shared" si="3"/>
        <v>6</v>
      </c>
      <c r="E63">
        <f t="shared" si="3"/>
        <v>17</v>
      </c>
      <c r="F63">
        <f t="shared" si="3"/>
        <v>19</v>
      </c>
      <c r="G63" s="446">
        <f t="shared" si="3"/>
        <v>5</v>
      </c>
    </row>
    <row r="65" spans="2:6" ht="12.75">
      <c r="B65" t="s">
        <v>366</v>
      </c>
      <c r="C65">
        <f>B63+E63</f>
        <v>36</v>
      </c>
      <c r="D65" s="422">
        <f>C65/C67</f>
        <v>0.5294117647058824</v>
      </c>
      <c r="E65" s="411" t="str">
        <f>IF(D65&gt;=0.5,"OK","BAD")</f>
        <v>OK</v>
      </c>
      <c r="F65" t="s">
        <v>367</v>
      </c>
    </row>
    <row r="66" spans="2:6" ht="12.75">
      <c r="B66" t="s">
        <v>368</v>
      </c>
      <c r="C66">
        <f>C63+F63</f>
        <v>32</v>
      </c>
      <c r="D66" s="422">
        <f>C66/C67</f>
        <v>0.47058823529411764</v>
      </c>
      <c r="E66" s="411" t="str">
        <f>IF(D66&lt;=0.5,"OK","BAD")</f>
        <v>OK</v>
      </c>
      <c r="F66" t="s">
        <v>369</v>
      </c>
    </row>
    <row r="67" spans="2:3" ht="12.75">
      <c r="B67" t="s">
        <v>370</v>
      </c>
      <c r="C67">
        <f>C65+C66</f>
        <v>68</v>
      </c>
    </row>
    <row r="68" spans="2:3" ht="12.75">
      <c r="B68" t="s">
        <v>308</v>
      </c>
      <c r="C68">
        <f>D63+G63</f>
        <v>11</v>
      </c>
    </row>
    <row r="73" spans="1:3" ht="12.75">
      <c r="A73" t="s">
        <v>93</v>
      </c>
      <c r="C73" t="s">
        <v>371</v>
      </c>
    </row>
    <row r="74" spans="1:3" ht="12.75">
      <c r="A74" s="413" t="s">
        <v>334</v>
      </c>
      <c r="B74" s="447" t="s">
        <v>348</v>
      </c>
      <c r="C74" s="448" t="s">
        <v>372</v>
      </c>
    </row>
    <row r="75" spans="1:3" ht="12.75">
      <c r="A75" s="417" t="s">
        <v>2</v>
      </c>
      <c r="B75" s="387">
        <f>'[1]Anul I'!S23</f>
        <v>0</v>
      </c>
      <c r="C75" s="449">
        <f>B75/30</f>
        <v>0</v>
      </c>
    </row>
    <row r="76" spans="1:3" ht="12.75">
      <c r="A76" s="417" t="s">
        <v>3</v>
      </c>
      <c r="B76">
        <f>'[1]Anul II'!S21</f>
        <v>90</v>
      </c>
      <c r="C76" s="450">
        <f>B76/30</f>
        <v>3</v>
      </c>
    </row>
    <row r="77" spans="1:7" ht="12.75">
      <c r="A77" s="417" t="s">
        <v>4</v>
      </c>
      <c r="B77">
        <f>'[1]Anul III'!S20</f>
        <v>90</v>
      </c>
      <c r="C77" s="450">
        <f>B77/30</f>
        <v>3</v>
      </c>
      <c r="E77" s="422">
        <f>(B75+B76+B77)/F9</f>
        <v>0.05710659898477157</v>
      </c>
      <c r="F77">
        <f>SUM(B75:B77)</f>
        <v>180</v>
      </c>
      <c r="G77" s="450">
        <f>SUM(C75:C77)</f>
        <v>6</v>
      </c>
    </row>
    <row r="78" spans="1:16" ht="12.75">
      <c r="A78" s="413" t="s">
        <v>67</v>
      </c>
      <c r="B78" s="419">
        <f>'[1]Anul IV'!S15</f>
        <v>60</v>
      </c>
      <c r="C78" s="451">
        <f>B78/30</f>
        <v>2</v>
      </c>
      <c r="E78" s="422">
        <f>B78/F9</f>
        <v>0.01903553299492386</v>
      </c>
      <c r="F78" s="452" t="str">
        <f>IF(F77&gt;=120,"OK","BAD")</f>
        <v>OK</v>
      </c>
      <c r="I78" s="82"/>
      <c r="J78" s="82"/>
      <c r="K78" s="82"/>
      <c r="L78" s="82"/>
      <c r="M78" s="82"/>
      <c r="N78" s="82"/>
      <c r="O78" s="82"/>
      <c r="P78" s="82"/>
    </row>
    <row r="79" spans="2:6" ht="12.75">
      <c r="B79">
        <f>SUM(B75:B78)</f>
        <v>240</v>
      </c>
      <c r="C79" s="450">
        <f>SUM(C75:C78)</f>
        <v>8</v>
      </c>
      <c r="F79" t="s">
        <v>373</v>
      </c>
    </row>
    <row r="80" spans="2:3" ht="12.75">
      <c r="B80" s="452" t="str">
        <f>IF(B79&gt;=240,"OK","BAD")</f>
        <v>OK</v>
      </c>
      <c r="C80" s="452" t="str">
        <f>IF(C79&gt;=8,"OK","BAD")</f>
        <v>OK</v>
      </c>
    </row>
    <row r="81" spans="2:7" ht="12.75">
      <c r="B81" s="387" t="s">
        <v>374</v>
      </c>
      <c r="C81" s="387" t="s">
        <v>375</v>
      </c>
      <c r="F81" s="449">
        <f>B78</f>
        <v>60</v>
      </c>
      <c r="G81" s="450">
        <f>C78</f>
        <v>2</v>
      </c>
    </row>
    <row r="82" ht="12.75">
      <c r="F82" s="452" t="str">
        <f>IF(F81&gt;=60,"OK","BAD")</f>
        <v>OK</v>
      </c>
    </row>
    <row r="83" spans="1:6" ht="12.75">
      <c r="A83" t="s">
        <v>376</v>
      </c>
      <c r="F83" t="s">
        <v>377</v>
      </c>
    </row>
    <row r="84" spans="1:3" ht="12.75">
      <c r="A84" s="413" t="s">
        <v>334</v>
      </c>
      <c r="B84" s="447" t="s">
        <v>78</v>
      </c>
      <c r="C84" s="448" t="s">
        <v>79</v>
      </c>
    </row>
    <row r="85" spans="1:3" ht="12.75">
      <c r="A85" s="417" t="s">
        <v>2</v>
      </c>
      <c r="B85" s="387">
        <f>'[1]Anul I'!$E$44</f>
        <v>26</v>
      </c>
      <c r="C85">
        <f>'[1]Anul I'!$K$44</f>
        <v>26</v>
      </c>
    </row>
    <row r="86" spans="1:5" ht="12.75">
      <c r="A86" s="417" t="s">
        <v>3</v>
      </c>
      <c r="B86" s="387">
        <f>'[1]Anul II'!$E$45</f>
        <v>26</v>
      </c>
      <c r="C86">
        <f>'[1]Anul II'!$K$45</f>
        <v>26</v>
      </c>
      <c r="E86" s="453">
        <f>(SUM(B85:B88)+SUM(C85:C88))/8</f>
        <v>26</v>
      </c>
    </row>
    <row r="87" spans="1:6" ht="12.75">
      <c r="A87" s="417" t="s">
        <v>4</v>
      </c>
      <c r="B87" s="387">
        <f>'[1]Anul III'!$E$45</f>
        <v>26</v>
      </c>
      <c r="C87">
        <f>'[1]Anul III'!$K$45</f>
        <v>26</v>
      </c>
      <c r="E87" t="s">
        <v>378</v>
      </c>
      <c r="F87" t="s">
        <v>379</v>
      </c>
    </row>
    <row r="88" spans="1:6" ht="12.75">
      <c r="A88" s="413" t="s">
        <v>67</v>
      </c>
      <c r="B88" s="447">
        <f>'[1]Anul IV'!$E$44</f>
        <v>26</v>
      </c>
      <c r="C88" s="454">
        <f>'[1]Anul IV'!K44</f>
        <v>26</v>
      </c>
      <c r="E88" t="s">
        <v>380</v>
      </c>
      <c r="F88" t="s">
        <v>381</v>
      </c>
    </row>
    <row r="91" ht="12.75">
      <c r="A91" s="378" t="s">
        <v>382</v>
      </c>
    </row>
    <row r="92" spans="1:3" ht="12.75">
      <c r="A92" s="413" t="s">
        <v>334</v>
      </c>
      <c r="B92" s="447" t="s">
        <v>78</v>
      </c>
      <c r="C92" s="448" t="s">
        <v>79</v>
      </c>
    </row>
    <row r="93" spans="1:4" ht="12.75">
      <c r="A93" s="417" t="s">
        <v>2</v>
      </c>
      <c r="B93" s="387">
        <f>'[1]Anul I'!AL40</f>
        <v>0</v>
      </c>
      <c r="C93" s="387">
        <f>'[1]Anul I'!AM40</f>
        <v>0</v>
      </c>
      <c r="D93" s="17">
        <f>B93+C93</f>
        <v>0</v>
      </c>
    </row>
    <row r="94" spans="1:6" ht="12.75">
      <c r="A94" s="417" t="s">
        <v>3</v>
      </c>
      <c r="B94" s="387">
        <f>'[1]Anul II'!AL41</f>
        <v>0</v>
      </c>
      <c r="C94">
        <f>'[1]Anul II'!AM41</f>
        <v>2</v>
      </c>
      <c r="D94" s="17">
        <f>B94+C94</f>
        <v>2</v>
      </c>
      <c r="F94" t="s">
        <v>383</v>
      </c>
    </row>
    <row r="95" spans="1:7" ht="12.75">
      <c r="A95" s="417" t="s">
        <v>4</v>
      </c>
      <c r="B95" s="387">
        <f>'[1]Anul III'!AL41</f>
        <v>2</v>
      </c>
      <c r="C95">
        <f>'[1]Anul III'!AM41</f>
        <v>2</v>
      </c>
      <c r="D95" s="17">
        <f>B95+C95</f>
        <v>4</v>
      </c>
      <c r="F95" s="455">
        <f>D97/6</f>
        <v>2</v>
      </c>
      <c r="G95" s="411" t="str">
        <f>IF(F95&lt;=2,"OK","BAD")</f>
        <v>OK</v>
      </c>
    </row>
    <row r="96" spans="1:8" ht="12.75">
      <c r="A96" s="413" t="s">
        <v>67</v>
      </c>
      <c r="B96" s="447">
        <f>'[1]Anul IV'!AL40</f>
        <v>5</v>
      </c>
      <c r="C96" s="414">
        <f>'[1]Anul IV'!AM40-1</f>
        <v>1</v>
      </c>
      <c r="D96" s="414">
        <f>B96+C96</f>
        <v>6</v>
      </c>
      <c r="F96" s="411" t="s">
        <v>384</v>
      </c>
      <c r="G96" s="411"/>
      <c r="H96" s="411"/>
    </row>
    <row r="97" spans="4:6" ht="12.75">
      <c r="D97" s="418">
        <f>SUM(D93:D96)</f>
        <v>12</v>
      </c>
      <c r="E97" t="s">
        <v>385</v>
      </c>
      <c r="F97" s="411" t="str">
        <f>IF(D97&gt;=4,"OK","BAD")</f>
        <v>OK</v>
      </c>
    </row>
    <row r="98" spans="5:6" ht="12.75">
      <c r="E98" t="s">
        <v>386</v>
      </c>
      <c r="F98" s="411" t="str">
        <f>IF(D97&lt;=12,"OK","BAD")</f>
        <v>OK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T133"/>
  <sheetViews>
    <sheetView tabSelected="1" zoomScalePageLayoutView="0" workbookViewId="0" topLeftCell="A79">
      <selection activeCell="P70" sqref="P70"/>
    </sheetView>
  </sheetViews>
  <sheetFormatPr defaultColWidth="9.140625" defaultRowHeight="12.75"/>
  <cols>
    <col min="1" max="1" width="3.57421875" style="935" customWidth="1"/>
    <col min="2" max="2" width="31.57421875" style="935" customWidth="1"/>
    <col min="3" max="3" width="9.00390625" style="935" customWidth="1"/>
    <col min="4" max="4" width="8.00390625" style="935" customWidth="1"/>
    <col min="5" max="5" width="7.57421875" style="935" customWidth="1"/>
    <col min="6" max="6" width="7.421875" style="935" customWidth="1"/>
    <col min="7" max="7" width="8.28125" style="935" customWidth="1"/>
    <col min="8" max="8" width="8.421875" style="935" customWidth="1"/>
    <col min="9" max="9" width="8.7109375" style="935" customWidth="1"/>
    <col min="10" max="10" width="8.28125" style="935" customWidth="1"/>
    <col min="11" max="11" width="11.7109375" style="935" customWidth="1"/>
    <col min="12" max="12" width="10.00390625" style="936" bestFit="1" customWidth="1"/>
    <col min="13" max="13" width="0" style="937" hidden="1" customWidth="1"/>
    <col min="14" max="16384" width="9.140625" style="935" customWidth="1"/>
  </cols>
  <sheetData>
    <row r="1" ht="12.75">
      <c r="B1" s="935" t="s">
        <v>573</v>
      </c>
    </row>
    <row r="2" ht="12.75">
      <c r="B2" s="935" t="s">
        <v>574</v>
      </c>
    </row>
    <row r="3" ht="12.75">
      <c r="B3" s="935" t="s">
        <v>603</v>
      </c>
    </row>
    <row r="4" ht="12.75">
      <c r="B4" s="935" t="s">
        <v>575</v>
      </c>
    </row>
    <row r="5" spans="2:11" ht="12.75" customHeight="1">
      <c r="B5" s="1251" t="s">
        <v>576</v>
      </c>
      <c r="C5" s="1251"/>
      <c r="D5" s="1251"/>
      <c r="E5" s="1251"/>
      <c r="F5" s="1251"/>
      <c r="G5" s="1251"/>
      <c r="H5" s="1251"/>
      <c r="I5" s="1251"/>
      <c r="J5" s="1251"/>
      <c r="K5" s="1251"/>
    </row>
    <row r="7" spans="2:11" ht="12.75">
      <c r="B7" s="1252" t="s">
        <v>577</v>
      </c>
      <c r="C7" s="1252"/>
      <c r="D7" s="1252"/>
      <c r="E7" s="1252"/>
      <c r="F7" s="1252"/>
      <c r="G7" s="1252"/>
      <c r="H7" s="1252"/>
      <c r="I7" s="1252"/>
      <c r="J7" s="1252"/>
      <c r="K7" s="1252"/>
    </row>
    <row r="9" spans="1:14" ht="13.5" customHeight="1">
      <c r="A9" s="939"/>
      <c r="B9" s="939"/>
      <c r="C9" s="940" t="s">
        <v>578</v>
      </c>
      <c r="D9" s="940" t="s">
        <v>579</v>
      </c>
      <c r="E9" s="940" t="s">
        <v>580</v>
      </c>
      <c r="F9" s="940" t="s">
        <v>581</v>
      </c>
      <c r="G9" s="940" t="s">
        <v>582</v>
      </c>
      <c r="H9" s="940" t="s">
        <v>583</v>
      </c>
      <c r="I9" s="940" t="s">
        <v>584</v>
      </c>
      <c r="J9" s="940" t="s">
        <v>585</v>
      </c>
      <c r="K9" s="940" t="s">
        <v>586</v>
      </c>
      <c r="L9" s="941" t="s">
        <v>587</v>
      </c>
      <c r="N9" s="942"/>
    </row>
    <row r="10" spans="1:14" s="949" customFormat="1" ht="135" customHeight="1">
      <c r="A10" s="943"/>
      <c r="B10" s="944" t="s">
        <v>588</v>
      </c>
      <c r="C10" s="945" t="s">
        <v>563</v>
      </c>
      <c r="D10" s="945" t="s">
        <v>564</v>
      </c>
      <c r="E10" s="945" t="s">
        <v>565</v>
      </c>
      <c r="F10" s="945" t="s">
        <v>566</v>
      </c>
      <c r="G10" s="945" t="s">
        <v>567</v>
      </c>
      <c r="H10" s="945" t="s">
        <v>568</v>
      </c>
      <c r="I10" s="945" t="s">
        <v>532</v>
      </c>
      <c r="J10" s="945" t="s">
        <v>533</v>
      </c>
      <c r="K10" s="945" t="s">
        <v>534</v>
      </c>
      <c r="L10" s="946"/>
      <c r="M10" s="947"/>
      <c r="N10" s="948"/>
    </row>
    <row r="11" spans="2:13" s="950" customFormat="1" ht="10.5" thickBot="1">
      <c r="B11" s="951" t="s">
        <v>589</v>
      </c>
      <c r="L11" s="952"/>
      <c r="M11" s="953"/>
    </row>
    <row r="12" spans="1:98" s="958" customFormat="1" ht="10.5" thickBot="1">
      <c r="A12" s="954"/>
      <c r="B12" s="955" t="s">
        <v>590</v>
      </c>
      <c r="C12" s="956" t="s">
        <v>578</v>
      </c>
      <c r="D12" s="956" t="s">
        <v>579</v>
      </c>
      <c r="E12" s="956" t="s">
        <v>580</v>
      </c>
      <c r="F12" s="956" t="s">
        <v>581</v>
      </c>
      <c r="G12" s="956" t="s">
        <v>582</v>
      </c>
      <c r="H12" s="956" t="s">
        <v>583</v>
      </c>
      <c r="I12" s="956" t="s">
        <v>584</v>
      </c>
      <c r="J12" s="956" t="s">
        <v>585</v>
      </c>
      <c r="K12" s="956" t="s">
        <v>586</v>
      </c>
      <c r="L12" s="957" t="s">
        <v>587</v>
      </c>
      <c r="M12" s="953"/>
      <c r="N12" s="950"/>
      <c r="O12" s="950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0"/>
      <c r="AA12" s="950"/>
      <c r="AB12" s="950"/>
      <c r="AC12" s="950"/>
      <c r="AD12" s="950"/>
      <c r="AE12" s="950"/>
      <c r="AF12" s="950"/>
      <c r="AG12" s="950"/>
      <c r="AH12" s="950"/>
      <c r="AI12" s="950"/>
      <c r="AJ12" s="950"/>
      <c r="AK12" s="950"/>
      <c r="AL12" s="950"/>
      <c r="AM12" s="950"/>
      <c r="AN12" s="950"/>
      <c r="AO12" s="950"/>
      <c r="AP12" s="950"/>
      <c r="AQ12" s="950"/>
      <c r="AR12" s="950"/>
      <c r="AS12" s="950"/>
      <c r="AT12" s="950"/>
      <c r="AU12" s="950"/>
      <c r="AV12" s="950"/>
      <c r="AW12" s="950"/>
      <c r="AX12" s="950"/>
      <c r="AY12" s="950"/>
      <c r="AZ12" s="950"/>
      <c r="BA12" s="950"/>
      <c r="BB12" s="950"/>
      <c r="BC12" s="950"/>
      <c r="BD12" s="950"/>
      <c r="BE12" s="950"/>
      <c r="BF12" s="950"/>
      <c r="BG12" s="950"/>
      <c r="BH12" s="950"/>
      <c r="BI12" s="950"/>
      <c r="BJ12" s="950"/>
      <c r="BK12" s="950"/>
      <c r="BL12" s="950"/>
      <c r="BM12" s="950"/>
      <c r="BN12" s="950"/>
      <c r="BO12" s="950"/>
      <c r="BP12" s="950"/>
      <c r="BQ12" s="950"/>
      <c r="BR12" s="950"/>
      <c r="BS12" s="950"/>
      <c r="BT12" s="950"/>
      <c r="BU12" s="950"/>
      <c r="BV12" s="950"/>
      <c r="BW12" s="950"/>
      <c r="BX12" s="950"/>
      <c r="BY12" s="950"/>
      <c r="BZ12" s="950"/>
      <c r="CA12" s="950"/>
      <c r="CB12" s="950"/>
      <c r="CC12" s="950"/>
      <c r="CD12" s="950"/>
      <c r="CE12" s="950"/>
      <c r="CF12" s="950"/>
      <c r="CG12" s="950"/>
      <c r="CH12" s="950"/>
      <c r="CI12" s="950"/>
      <c r="CJ12" s="950"/>
      <c r="CK12" s="950"/>
      <c r="CL12" s="950"/>
      <c r="CM12" s="950"/>
      <c r="CN12" s="950"/>
      <c r="CO12" s="950"/>
      <c r="CP12" s="950"/>
      <c r="CQ12" s="950"/>
      <c r="CR12" s="950"/>
      <c r="CS12" s="950"/>
      <c r="CT12" s="950"/>
    </row>
    <row r="13" spans="1:13" s="950" customFormat="1" ht="9.75">
      <c r="A13" s="959">
        <v>1</v>
      </c>
      <c r="B13" s="960" t="s">
        <v>80</v>
      </c>
      <c r="C13" s="961">
        <v>5</v>
      </c>
      <c r="D13" s="961"/>
      <c r="E13" s="961"/>
      <c r="F13" s="961"/>
      <c r="G13" s="961"/>
      <c r="H13" s="961"/>
      <c r="I13" s="961"/>
      <c r="J13" s="959"/>
      <c r="K13" s="959"/>
      <c r="L13" s="99">
        <f>SUM(C13:K13)</f>
        <v>5</v>
      </c>
      <c r="M13" s="953"/>
    </row>
    <row r="14" spans="1:13" s="950" customFormat="1" ht="9.75">
      <c r="A14" s="959">
        <v>2</v>
      </c>
      <c r="B14" s="960" t="s">
        <v>301</v>
      </c>
      <c r="C14" s="961">
        <v>5</v>
      </c>
      <c r="D14" s="961"/>
      <c r="E14" s="961"/>
      <c r="F14" s="961"/>
      <c r="G14" s="961"/>
      <c r="H14" s="961"/>
      <c r="I14" s="961"/>
      <c r="J14" s="959"/>
      <c r="K14" s="959"/>
      <c r="L14" s="99">
        <f aca="true" t="shared" si="0" ref="L14:L29">SUM(C14:K14)</f>
        <v>5</v>
      </c>
      <c r="M14" s="953"/>
    </row>
    <row r="15" spans="1:13" s="950" customFormat="1" ht="9.75">
      <c r="A15" s="959">
        <v>3</v>
      </c>
      <c r="B15" s="960" t="s">
        <v>123</v>
      </c>
      <c r="C15" s="961"/>
      <c r="D15" s="961">
        <v>1</v>
      </c>
      <c r="E15" s="961">
        <v>3</v>
      </c>
      <c r="F15" s="961"/>
      <c r="G15" s="961"/>
      <c r="H15" s="961"/>
      <c r="I15" s="961"/>
      <c r="J15" s="959"/>
      <c r="K15" s="959"/>
      <c r="L15" s="99">
        <f t="shared" si="0"/>
        <v>4</v>
      </c>
      <c r="M15" s="953"/>
    </row>
    <row r="16" spans="1:13" s="950" customFormat="1" ht="9.75">
      <c r="A16" s="959">
        <v>4</v>
      </c>
      <c r="B16" s="960" t="s">
        <v>87</v>
      </c>
      <c r="C16" s="961">
        <v>2</v>
      </c>
      <c r="D16" s="961">
        <v>1</v>
      </c>
      <c r="E16" s="961"/>
      <c r="F16" s="961"/>
      <c r="G16" s="961"/>
      <c r="H16" s="961"/>
      <c r="I16" s="961"/>
      <c r="J16" s="959"/>
      <c r="K16" s="959"/>
      <c r="L16" s="99">
        <f t="shared" si="0"/>
        <v>3</v>
      </c>
      <c r="M16" s="953"/>
    </row>
    <row r="17" spans="1:13" s="950" customFormat="1" ht="9.75">
      <c r="A17" s="959">
        <v>5</v>
      </c>
      <c r="B17" s="960" t="s">
        <v>90</v>
      </c>
      <c r="C17" s="961">
        <v>2</v>
      </c>
      <c r="D17" s="961">
        <v>3</v>
      </c>
      <c r="E17" s="961"/>
      <c r="F17" s="961"/>
      <c r="G17" s="961"/>
      <c r="H17" s="961"/>
      <c r="I17" s="961"/>
      <c r="J17" s="962"/>
      <c r="K17" s="959"/>
      <c r="L17" s="99">
        <f t="shared" si="0"/>
        <v>5</v>
      </c>
      <c r="M17" s="953"/>
    </row>
    <row r="18" spans="1:13" s="950" customFormat="1" ht="9.75">
      <c r="A18" s="959">
        <v>6</v>
      </c>
      <c r="B18" s="960" t="s">
        <v>91</v>
      </c>
      <c r="C18" s="961"/>
      <c r="D18" s="961">
        <v>3</v>
      </c>
      <c r="E18" s="961"/>
      <c r="F18" s="961"/>
      <c r="G18" s="961"/>
      <c r="H18" s="961"/>
      <c r="I18" s="961"/>
      <c r="J18" s="962"/>
      <c r="K18" s="962"/>
      <c r="L18" s="99">
        <f t="shared" si="0"/>
        <v>3</v>
      </c>
      <c r="M18" s="953"/>
    </row>
    <row r="19" spans="1:13" s="950" customFormat="1" ht="9.75">
      <c r="A19" s="959">
        <v>7</v>
      </c>
      <c r="B19" s="960" t="s">
        <v>130</v>
      </c>
      <c r="C19" s="961"/>
      <c r="D19" s="961"/>
      <c r="E19" s="961"/>
      <c r="F19" s="961"/>
      <c r="G19" s="961"/>
      <c r="H19" s="961"/>
      <c r="I19" s="961">
        <v>2</v>
      </c>
      <c r="J19" s="962"/>
      <c r="K19" s="962"/>
      <c r="L19" s="99">
        <f t="shared" si="0"/>
        <v>2</v>
      </c>
      <c r="M19" s="953"/>
    </row>
    <row r="20" spans="1:13" s="950" customFormat="1" ht="9.75">
      <c r="A20" s="959">
        <v>8</v>
      </c>
      <c r="B20" s="960" t="s">
        <v>92</v>
      </c>
      <c r="C20" s="961"/>
      <c r="D20" s="961"/>
      <c r="E20" s="961"/>
      <c r="F20" s="961"/>
      <c r="G20" s="961"/>
      <c r="H20" s="961"/>
      <c r="I20" s="961"/>
      <c r="J20" s="962">
        <v>1</v>
      </c>
      <c r="K20" s="962"/>
      <c r="L20" s="99">
        <f t="shared" si="0"/>
        <v>1</v>
      </c>
      <c r="M20" s="953"/>
    </row>
    <row r="21" spans="1:13" s="950" customFormat="1" ht="9.75">
      <c r="A21" s="959">
        <v>9</v>
      </c>
      <c r="B21" s="963" t="s">
        <v>266</v>
      </c>
      <c r="C21" s="961"/>
      <c r="D21" s="961"/>
      <c r="E21" s="961"/>
      <c r="F21" s="961"/>
      <c r="G21" s="961"/>
      <c r="H21" s="961"/>
      <c r="I21" s="961"/>
      <c r="J21" s="962"/>
      <c r="K21" s="962">
        <v>2</v>
      </c>
      <c r="L21" s="99">
        <f t="shared" si="0"/>
        <v>2</v>
      </c>
      <c r="M21" s="953"/>
    </row>
    <row r="22" spans="1:13" s="950" customFormat="1" ht="9.75">
      <c r="A22" s="959">
        <v>10</v>
      </c>
      <c r="B22" s="960" t="s">
        <v>131</v>
      </c>
      <c r="C22" s="961">
        <v>5</v>
      </c>
      <c r="D22" s="961"/>
      <c r="E22" s="961"/>
      <c r="F22" s="961"/>
      <c r="G22" s="961"/>
      <c r="H22" s="961"/>
      <c r="I22" s="961"/>
      <c r="J22" s="962"/>
      <c r="K22" s="962"/>
      <c r="L22" s="99">
        <f t="shared" si="0"/>
        <v>5</v>
      </c>
      <c r="M22" s="953"/>
    </row>
    <row r="23" spans="1:13" s="950" customFormat="1" ht="9.75">
      <c r="A23" s="959">
        <v>11</v>
      </c>
      <c r="B23" s="960" t="s">
        <v>124</v>
      </c>
      <c r="C23" s="961"/>
      <c r="D23" s="961">
        <v>2</v>
      </c>
      <c r="E23" s="961">
        <v>3</v>
      </c>
      <c r="F23" s="961"/>
      <c r="G23" s="961"/>
      <c r="H23" s="961"/>
      <c r="I23" s="961"/>
      <c r="J23" s="962"/>
      <c r="K23" s="962"/>
      <c r="L23" s="99">
        <f t="shared" si="0"/>
        <v>5</v>
      </c>
      <c r="M23" s="953"/>
    </row>
    <row r="24" spans="1:13" s="950" customFormat="1" ht="9.75">
      <c r="A24" s="959">
        <v>12</v>
      </c>
      <c r="B24" s="960" t="s">
        <v>94</v>
      </c>
      <c r="C24" s="961">
        <v>2</v>
      </c>
      <c r="D24" s="961">
        <v>3</v>
      </c>
      <c r="E24" s="961"/>
      <c r="F24" s="961"/>
      <c r="G24" s="961"/>
      <c r="H24" s="961"/>
      <c r="I24" s="961"/>
      <c r="J24" s="962"/>
      <c r="K24" s="962"/>
      <c r="L24" s="99">
        <f t="shared" si="0"/>
        <v>5</v>
      </c>
      <c r="M24" s="953"/>
    </row>
    <row r="25" spans="1:13" s="950" customFormat="1" ht="9.75">
      <c r="A25" s="959">
        <v>13</v>
      </c>
      <c r="B25" s="960" t="s">
        <v>95</v>
      </c>
      <c r="C25" s="961">
        <v>2</v>
      </c>
      <c r="D25" s="961">
        <v>3</v>
      </c>
      <c r="E25" s="961"/>
      <c r="F25" s="961"/>
      <c r="G25" s="961"/>
      <c r="H25" s="961"/>
      <c r="I25" s="961"/>
      <c r="J25" s="962"/>
      <c r="K25" s="962"/>
      <c r="L25" s="99">
        <f t="shared" si="0"/>
        <v>5</v>
      </c>
      <c r="M25" s="953"/>
    </row>
    <row r="26" spans="1:13" s="950" customFormat="1" ht="9.75">
      <c r="A26" s="959">
        <v>14</v>
      </c>
      <c r="B26" s="960" t="s">
        <v>96</v>
      </c>
      <c r="C26" s="961"/>
      <c r="D26" s="961"/>
      <c r="E26" s="961"/>
      <c r="F26" s="961"/>
      <c r="G26" s="961"/>
      <c r="H26" s="961"/>
      <c r="I26" s="961"/>
      <c r="J26" s="962">
        <v>2</v>
      </c>
      <c r="K26" s="962"/>
      <c r="L26" s="99">
        <f t="shared" si="0"/>
        <v>2</v>
      </c>
      <c r="M26" s="953"/>
    </row>
    <row r="27" spans="1:13" s="950" customFormat="1" ht="9.75">
      <c r="A27" s="959">
        <v>15</v>
      </c>
      <c r="B27" s="960" t="s">
        <v>591</v>
      </c>
      <c r="C27" s="961"/>
      <c r="D27" s="961">
        <v>5</v>
      </c>
      <c r="E27" s="961"/>
      <c r="F27" s="961"/>
      <c r="G27" s="961"/>
      <c r="H27" s="961"/>
      <c r="I27" s="961"/>
      <c r="J27" s="962"/>
      <c r="K27" s="962"/>
      <c r="L27" s="99">
        <f t="shared" si="0"/>
        <v>5</v>
      </c>
      <c r="M27" s="953"/>
    </row>
    <row r="28" spans="1:13" s="950" customFormat="1" ht="9.75">
      <c r="A28" s="959">
        <v>16</v>
      </c>
      <c r="B28" s="960" t="s">
        <v>97</v>
      </c>
      <c r="C28" s="961"/>
      <c r="D28" s="961"/>
      <c r="E28" s="961"/>
      <c r="F28" s="961"/>
      <c r="G28" s="961"/>
      <c r="H28" s="961"/>
      <c r="I28" s="961"/>
      <c r="J28" s="962">
        <v>1</v>
      </c>
      <c r="K28" s="962"/>
      <c r="L28" s="99">
        <f t="shared" si="0"/>
        <v>1</v>
      </c>
      <c r="M28" s="953"/>
    </row>
    <row r="29" spans="1:13" s="950" customFormat="1" ht="9.75">
      <c r="A29" s="959">
        <v>17</v>
      </c>
      <c r="B29" s="963" t="s">
        <v>302</v>
      </c>
      <c r="C29" s="961"/>
      <c r="D29" s="961"/>
      <c r="E29" s="961"/>
      <c r="F29" s="961"/>
      <c r="G29" s="961"/>
      <c r="H29" s="961"/>
      <c r="I29" s="961"/>
      <c r="J29" s="962"/>
      <c r="K29" s="962">
        <v>2</v>
      </c>
      <c r="L29" s="99">
        <f t="shared" si="0"/>
        <v>2</v>
      </c>
      <c r="M29" s="953"/>
    </row>
    <row r="30" spans="2:13" s="950" customFormat="1" ht="10.5" thickBot="1">
      <c r="B30" s="964"/>
      <c r="C30" s="965"/>
      <c r="D30" s="965"/>
      <c r="E30" s="965"/>
      <c r="F30" s="965"/>
      <c r="G30" s="965"/>
      <c r="H30" s="965"/>
      <c r="I30" s="965"/>
      <c r="J30" s="966"/>
      <c r="K30" s="966"/>
      <c r="L30" s="953"/>
      <c r="M30" s="953">
        <f>SUM(L13:L29)</f>
        <v>60</v>
      </c>
    </row>
    <row r="31" spans="1:65" s="958" customFormat="1" ht="10.5" thickBot="1">
      <c r="A31" s="954"/>
      <c r="B31" s="1015" t="s">
        <v>592</v>
      </c>
      <c r="C31" s="956" t="s">
        <v>578</v>
      </c>
      <c r="D31" s="956" t="s">
        <v>579</v>
      </c>
      <c r="E31" s="956" t="s">
        <v>580</v>
      </c>
      <c r="F31" s="956" t="s">
        <v>581</v>
      </c>
      <c r="G31" s="956" t="s">
        <v>582</v>
      </c>
      <c r="H31" s="956" t="s">
        <v>583</v>
      </c>
      <c r="I31" s="956" t="s">
        <v>584</v>
      </c>
      <c r="J31" s="956" t="s">
        <v>585</v>
      </c>
      <c r="K31" s="956" t="s">
        <v>586</v>
      </c>
      <c r="L31" s="957" t="s">
        <v>587</v>
      </c>
      <c r="M31" s="967"/>
      <c r="N31" s="950"/>
      <c r="O31" s="950"/>
      <c r="P31" s="950"/>
      <c r="Q31" s="950"/>
      <c r="R31" s="950"/>
      <c r="S31" s="950"/>
      <c r="T31" s="950"/>
      <c r="U31" s="950"/>
      <c r="V31" s="950"/>
      <c r="W31" s="950"/>
      <c r="X31" s="950"/>
      <c r="Y31" s="950"/>
      <c r="Z31" s="950"/>
      <c r="AA31" s="950"/>
      <c r="AB31" s="950"/>
      <c r="AC31" s="950"/>
      <c r="AD31" s="950"/>
      <c r="AE31" s="950"/>
      <c r="AF31" s="950"/>
      <c r="AG31" s="950"/>
      <c r="AH31" s="950"/>
      <c r="AI31" s="950"/>
      <c r="AJ31" s="950"/>
      <c r="AK31" s="950"/>
      <c r="AL31" s="950"/>
      <c r="AM31" s="950"/>
      <c r="AN31" s="950"/>
      <c r="AO31" s="950"/>
      <c r="AP31" s="950"/>
      <c r="AQ31" s="950"/>
      <c r="AR31" s="950"/>
      <c r="AS31" s="950"/>
      <c r="AT31" s="950"/>
      <c r="AU31" s="950"/>
      <c r="AV31" s="950"/>
      <c r="AW31" s="950"/>
      <c r="AX31" s="950"/>
      <c r="AY31" s="950"/>
      <c r="AZ31" s="950"/>
      <c r="BA31" s="950"/>
      <c r="BB31" s="950"/>
      <c r="BC31" s="950"/>
      <c r="BD31" s="950"/>
      <c r="BE31" s="950"/>
      <c r="BF31" s="950"/>
      <c r="BG31" s="950"/>
      <c r="BH31" s="950"/>
      <c r="BI31" s="950"/>
      <c r="BJ31" s="950"/>
      <c r="BK31" s="950"/>
      <c r="BL31" s="950"/>
      <c r="BM31" s="950"/>
    </row>
    <row r="32" spans="1:13" s="952" customFormat="1" ht="9.75">
      <c r="A32" s="1013">
        <v>1</v>
      </c>
      <c r="B32" s="87" t="s">
        <v>99</v>
      </c>
      <c r="C32" s="1014">
        <v>4</v>
      </c>
      <c r="D32" s="968"/>
      <c r="E32" s="968"/>
      <c r="F32" s="968"/>
      <c r="G32" s="968"/>
      <c r="H32" s="968"/>
      <c r="I32" s="968"/>
      <c r="J32" s="969"/>
      <c r="K32" s="969"/>
      <c r="L32" s="540">
        <f>SUM(C32:K32)</f>
        <v>4</v>
      </c>
      <c r="M32" s="953"/>
    </row>
    <row r="33" spans="1:13" s="952" customFormat="1" ht="9.75">
      <c r="A33" s="1013">
        <v>2</v>
      </c>
      <c r="B33" s="87" t="s">
        <v>129</v>
      </c>
      <c r="C33" s="1014">
        <v>4</v>
      </c>
      <c r="D33" s="968"/>
      <c r="E33" s="968"/>
      <c r="F33" s="968"/>
      <c r="G33" s="968"/>
      <c r="H33" s="968"/>
      <c r="I33" s="968"/>
      <c r="J33" s="969"/>
      <c r="K33" s="969"/>
      <c r="L33" s="540">
        <f aca="true" t="shared" si="1" ref="L33:L48">SUM(C33:K33)</f>
        <v>4</v>
      </c>
      <c r="M33" s="953"/>
    </row>
    <row r="34" spans="1:13" s="952" customFormat="1" ht="9.75">
      <c r="A34" s="1013">
        <v>3</v>
      </c>
      <c r="B34" s="87" t="s">
        <v>100</v>
      </c>
      <c r="C34" s="1014"/>
      <c r="D34" s="968">
        <v>4</v>
      </c>
      <c r="E34" s="968"/>
      <c r="F34" s="968"/>
      <c r="G34" s="968"/>
      <c r="H34" s="968"/>
      <c r="I34" s="968"/>
      <c r="J34" s="969"/>
      <c r="K34" s="969"/>
      <c r="L34" s="540">
        <f t="shared" si="1"/>
        <v>4</v>
      </c>
      <c r="M34" s="953"/>
    </row>
    <row r="35" spans="1:13" s="952" customFormat="1" ht="9.75">
      <c r="A35" s="1013">
        <v>4</v>
      </c>
      <c r="B35" s="87" t="s">
        <v>531</v>
      </c>
      <c r="C35" s="1014"/>
      <c r="D35" s="968"/>
      <c r="E35" s="968">
        <v>5</v>
      </c>
      <c r="F35" s="968"/>
      <c r="G35" s="968"/>
      <c r="H35" s="968"/>
      <c r="I35" s="968"/>
      <c r="J35" s="969"/>
      <c r="K35" s="969"/>
      <c r="L35" s="540">
        <f t="shared" si="1"/>
        <v>5</v>
      </c>
      <c r="M35" s="953"/>
    </row>
    <row r="36" spans="1:13" s="952" customFormat="1" ht="9.75">
      <c r="A36" s="1013">
        <v>5</v>
      </c>
      <c r="B36" s="87" t="s">
        <v>101</v>
      </c>
      <c r="C36" s="1014"/>
      <c r="D36" s="968"/>
      <c r="E36" s="968">
        <v>4</v>
      </c>
      <c r="F36" s="968"/>
      <c r="G36" s="968"/>
      <c r="H36" s="968"/>
      <c r="I36" s="968"/>
      <c r="J36" s="969"/>
      <c r="K36" s="969"/>
      <c r="L36" s="540">
        <f t="shared" si="1"/>
        <v>4</v>
      </c>
      <c r="M36" s="953"/>
    </row>
    <row r="37" spans="1:13" s="952" customFormat="1" ht="9.75">
      <c r="A37" s="1013">
        <v>6</v>
      </c>
      <c r="B37" s="87" t="s">
        <v>102</v>
      </c>
      <c r="C37" s="1014"/>
      <c r="D37" s="968"/>
      <c r="E37" s="968">
        <v>4</v>
      </c>
      <c r="F37" s="968"/>
      <c r="G37" s="968"/>
      <c r="H37" s="968"/>
      <c r="I37" s="968"/>
      <c r="J37" s="969"/>
      <c r="K37" s="969"/>
      <c r="L37" s="540">
        <f t="shared" si="1"/>
        <v>4</v>
      </c>
      <c r="M37" s="953"/>
    </row>
    <row r="38" spans="1:13" s="952" customFormat="1" ht="9.75">
      <c r="A38" s="1013">
        <v>7</v>
      </c>
      <c r="B38" s="87" t="s">
        <v>133</v>
      </c>
      <c r="C38" s="1014"/>
      <c r="D38" s="968">
        <v>4</v>
      </c>
      <c r="E38" s="968"/>
      <c r="F38" s="968"/>
      <c r="G38" s="968"/>
      <c r="H38" s="968"/>
      <c r="I38" s="968"/>
      <c r="J38" s="969"/>
      <c r="K38" s="969"/>
      <c r="L38" s="540">
        <f t="shared" si="1"/>
        <v>4</v>
      </c>
      <c r="M38" s="953"/>
    </row>
    <row r="39" spans="1:13" s="952" customFormat="1" ht="9.75">
      <c r="A39" s="1013">
        <v>8</v>
      </c>
      <c r="B39" s="87" t="s">
        <v>103</v>
      </c>
      <c r="C39" s="1014"/>
      <c r="D39" s="968"/>
      <c r="E39" s="968"/>
      <c r="F39" s="968"/>
      <c r="G39" s="968"/>
      <c r="H39" s="968"/>
      <c r="I39" s="968"/>
      <c r="J39" s="969">
        <v>1</v>
      </c>
      <c r="K39" s="969"/>
      <c r="L39" s="540">
        <f t="shared" si="1"/>
        <v>1</v>
      </c>
      <c r="M39" s="953"/>
    </row>
    <row r="40" spans="1:13" s="952" customFormat="1" ht="9.75">
      <c r="A40" s="1013">
        <v>9</v>
      </c>
      <c r="B40" s="87" t="s">
        <v>134</v>
      </c>
      <c r="C40" s="1014"/>
      <c r="D40" s="968"/>
      <c r="E40" s="968"/>
      <c r="F40" s="968">
        <v>2</v>
      </c>
      <c r="G40" s="968"/>
      <c r="H40" s="968"/>
      <c r="I40" s="968"/>
      <c r="J40" s="969"/>
      <c r="K40" s="969"/>
      <c r="L40" s="540">
        <f t="shared" si="1"/>
        <v>2</v>
      </c>
      <c r="M40" s="953"/>
    </row>
    <row r="41" spans="1:13" s="952" customFormat="1" ht="9.75">
      <c r="A41" s="1013">
        <v>10</v>
      </c>
      <c r="B41" s="87" t="s">
        <v>115</v>
      </c>
      <c r="C41" s="1014"/>
      <c r="D41" s="968"/>
      <c r="E41" s="968"/>
      <c r="F41" s="968">
        <v>2</v>
      </c>
      <c r="G41" s="968"/>
      <c r="H41" s="968"/>
      <c r="I41" s="968"/>
      <c r="J41" s="969"/>
      <c r="K41" s="969"/>
      <c r="L41" s="540">
        <f t="shared" si="1"/>
        <v>2</v>
      </c>
      <c r="M41" s="953"/>
    </row>
    <row r="42" spans="1:13" s="952" customFormat="1" ht="9.75">
      <c r="A42" s="1013">
        <v>11</v>
      </c>
      <c r="B42" s="87" t="s">
        <v>104</v>
      </c>
      <c r="C42" s="1014"/>
      <c r="D42" s="968">
        <v>4</v>
      </c>
      <c r="E42" s="968"/>
      <c r="F42" s="968"/>
      <c r="G42" s="968"/>
      <c r="H42" s="968"/>
      <c r="I42" s="968"/>
      <c r="J42" s="969"/>
      <c r="K42" s="969"/>
      <c r="L42" s="540">
        <f t="shared" si="1"/>
        <v>4</v>
      </c>
      <c r="M42" s="953"/>
    </row>
    <row r="43" spans="1:13" s="952" customFormat="1" ht="9.75">
      <c r="A43" s="1013">
        <v>12</v>
      </c>
      <c r="B43" s="87" t="s">
        <v>105</v>
      </c>
      <c r="C43" s="1014"/>
      <c r="D43" s="968">
        <v>6</v>
      </c>
      <c r="E43" s="968"/>
      <c r="F43" s="968"/>
      <c r="G43" s="968"/>
      <c r="H43" s="968"/>
      <c r="I43" s="968"/>
      <c r="J43" s="969"/>
      <c r="K43" s="969"/>
      <c r="L43" s="540">
        <f t="shared" si="1"/>
        <v>6</v>
      </c>
      <c r="M43" s="953"/>
    </row>
    <row r="44" spans="1:13" s="952" customFormat="1" ht="9.75">
      <c r="A44" s="1013">
        <v>13</v>
      </c>
      <c r="B44" s="87" t="s">
        <v>106</v>
      </c>
      <c r="C44" s="1014">
        <v>2</v>
      </c>
      <c r="D44" s="968">
        <v>2</v>
      </c>
      <c r="E44" s="968"/>
      <c r="F44" s="968"/>
      <c r="G44" s="968"/>
      <c r="H44" s="968"/>
      <c r="I44" s="968"/>
      <c r="J44" s="969"/>
      <c r="K44" s="969"/>
      <c r="L44" s="540">
        <f t="shared" si="1"/>
        <v>4</v>
      </c>
      <c r="M44" s="953"/>
    </row>
    <row r="45" spans="1:13" s="952" customFormat="1" ht="9.75">
      <c r="A45" s="1013">
        <v>14</v>
      </c>
      <c r="B45" s="87" t="s">
        <v>118</v>
      </c>
      <c r="C45" s="1014"/>
      <c r="D45" s="968"/>
      <c r="E45" s="968">
        <v>4</v>
      </c>
      <c r="F45" s="968"/>
      <c r="G45" s="968"/>
      <c r="H45" s="968"/>
      <c r="I45" s="968"/>
      <c r="J45" s="969"/>
      <c r="K45" s="969"/>
      <c r="L45" s="540">
        <f t="shared" si="1"/>
        <v>4</v>
      </c>
      <c r="M45" s="953"/>
    </row>
    <row r="46" spans="1:13" s="952" customFormat="1" ht="9.75">
      <c r="A46" s="1013">
        <v>15</v>
      </c>
      <c r="B46" s="87" t="s">
        <v>120</v>
      </c>
      <c r="C46" s="1014"/>
      <c r="D46" s="968"/>
      <c r="E46" s="968">
        <v>3</v>
      </c>
      <c r="F46" s="968"/>
      <c r="G46" s="968"/>
      <c r="H46" s="968"/>
      <c r="I46" s="968"/>
      <c r="J46" s="969"/>
      <c r="K46" s="969"/>
      <c r="L46" s="540">
        <f t="shared" si="1"/>
        <v>3</v>
      </c>
      <c r="M46" s="953"/>
    </row>
    <row r="47" spans="1:13" s="952" customFormat="1" ht="9.75">
      <c r="A47" s="1013">
        <v>16</v>
      </c>
      <c r="B47" s="87" t="s">
        <v>107</v>
      </c>
      <c r="C47" s="1014"/>
      <c r="D47" s="968"/>
      <c r="E47" s="968"/>
      <c r="F47" s="968"/>
      <c r="G47" s="968"/>
      <c r="H47" s="968"/>
      <c r="I47" s="968"/>
      <c r="J47" s="969">
        <v>1</v>
      </c>
      <c r="K47" s="969"/>
      <c r="L47" s="540">
        <f t="shared" si="1"/>
        <v>1</v>
      </c>
      <c r="M47" s="953"/>
    </row>
    <row r="48" spans="1:13" s="952" customFormat="1" ht="9.75">
      <c r="A48" s="1013">
        <v>17</v>
      </c>
      <c r="B48" s="87" t="s">
        <v>254</v>
      </c>
      <c r="C48" s="1014"/>
      <c r="D48" s="968">
        <v>2</v>
      </c>
      <c r="E48" s="968">
        <v>2</v>
      </c>
      <c r="F48" s="968"/>
      <c r="G48" s="968"/>
      <c r="H48" s="968"/>
      <c r="I48" s="968"/>
      <c r="J48" s="969"/>
      <c r="K48" s="969"/>
      <c r="L48" s="540">
        <f t="shared" si="1"/>
        <v>4</v>
      </c>
      <c r="M48" s="953"/>
    </row>
    <row r="49" spans="2:13" s="950" customFormat="1" ht="9.75">
      <c r="B49" s="964"/>
      <c r="C49" s="965"/>
      <c r="D49" s="965"/>
      <c r="E49" s="965"/>
      <c r="F49" s="965"/>
      <c r="G49" s="965"/>
      <c r="H49" s="965"/>
      <c r="I49" s="965"/>
      <c r="J49" s="966"/>
      <c r="K49" s="966"/>
      <c r="L49" s="953"/>
      <c r="M49" s="953">
        <f>SUM(L32:L48)</f>
        <v>60</v>
      </c>
    </row>
    <row r="50" spans="1:87" s="970" customFormat="1" ht="9.75">
      <c r="A50" s="954"/>
      <c r="B50" s="1015" t="s">
        <v>593</v>
      </c>
      <c r="C50" s="956" t="s">
        <v>578</v>
      </c>
      <c r="D50" s="956" t="s">
        <v>579</v>
      </c>
      <c r="E50" s="956" t="s">
        <v>580</v>
      </c>
      <c r="F50" s="956" t="s">
        <v>581</v>
      </c>
      <c r="G50" s="956" t="s">
        <v>582</v>
      </c>
      <c r="H50" s="956" t="s">
        <v>583</v>
      </c>
      <c r="I50" s="956" t="s">
        <v>584</v>
      </c>
      <c r="J50" s="956" t="s">
        <v>585</v>
      </c>
      <c r="K50" s="956" t="s">
        <v>586</v>
      </c>
      <c r="L50" s="957" t="s">
        <v>587</v>
      </c>
      <c r="M50" s="967"/>
      <c r="N50" s="950"/>
      <c r="O50" s="950"/>
      <c r="P50" s="950"/>
      <c r="Q50" s="950"/>
      <c r="R50" s="950"/>
      <c r="S50" s="950"/>
      <c r="T50" s="950"/>
      <c r="U50" s="950"/>
      <c r="V50" s="950"/>
      <c r="W50" s="950"/>
      <c r="X50" s="950"/>
      <c r="Y50" s="950"/>
      <c r="Z50" s="950"/>
      <c r="AA50" s="950"/>
      <c r="AB50" s="950"/>
      <c r="AC50" s="950"/>
      <c r="AD50" s="950"/>
      <c r="AE50" s="950"/>
      <c r="AF50" s="950"/>
      <c r="AG50" s="950"/>
      <c r="AH50" s="950"/>
      <c r="AI50" s="950"/>
      <c r="AJ50" s="950"/>
      <c r="AK50" s="950"/>
      <c r="AL50" s="950"/>
      <c r="AM50" s="950"/>
      <c r="AN50" s="950"/>
      <c r="AO50" s="950"/>
      <c r="AP50" s="950"/>
      <c r="AQ50" s="950"/>
      <c r="AR50" s="950"/>
      <c r="AS50" s="950"/>
      <c r="AT50" s="950"/>
      <c r="AU50" s="950"/>
      <c r="AV50" s="950"/>
      <c r="AW50" s="950"/>
      <c r="AX50" s="950"/>
      <c r="AY50" s="950"/>
      <c r="AZ50" s="950"/>
      <c r="BA50" s="950"/>
      <c r="BB50" s="950"/>
      <c r="BC50" s="950"/>
      <c r="BD50" s="950"/>
      <c r="BE50" s="950"/>
      <c r="BF50" s="950"/>
      <c r="BG50" s="950"/>
      <c r="BH50" s="950"/>
      <c r="BI50" s="950"/>
      <c r="BJ50" s="950"/>
      <c r="BK50" s="950"/>
      <c r="BL50" s="950"/>
      <c r="BM50" s="950"/>
      <c r="BN50" s="950"/>
      <c r="BO50" s="950"/>
      <c r="BP50" s="950"/>
      <c r="BQ50" s="950"/>
      <c r="BR50" s="950"/>
      <c r="BS50" s="950"/>
      <c r="BT50" s="950"/>
      <c r="BU50" s="950"/>
      <c r="BV50" s="950"/>
      <c r="BW50" s="950"/>
      <c r="BX50" s="950"/>
      <c r="BY50" s="950"/>
      <c r="BZ50" s="950"/>
      <c r="CA50" s="950"/>
      <c r="CB50" s="950"/>
      <c r="CC50" s="950"/>
      <c r="CD50" s="950"/>
      <c r="CE50" s="950"/>
      <c r="CF50" s="950"/>
      <c r="CG50" s="950"/>
      <c r="CH50" s="950"/>
      <c r="CI50" s="950"/>
    </row>
    <row r="51" spans="1:13" s="950" customFormat="1" ht="9.75">
      <c r="A51" s="1016">
        <v>1</v>
      </c>
      <c r="B51" s="87" t="s">
        <v>114</v>
      </c>
      <c r="C51" s="1017"/>
      <c r="D51" s="961">
        <v>1</v>
      </c>
      <c r="E51" s="961">
        <v>3</v>
      </c>
      <c r="F51" s="961"/>
      <c r="G51" s="961"/>
      <c r="H51" s="961"/>
      <c r="I51" s="961"/>
      <c r="J51" s="962"/>
      <c r="K51" s="962"/>
      <c r="L51" s="99">
        <f>SUM(C51:K51)</f>
        <v>4</v>
      </c>
      <c r="M51" s="953"/>
    </row>
    <row r="52" spans="1:13" s="950" customFormat="1" ht="9.75">
      <c r="A52" s="1016">
        <v>2</v>
      </c>
      <c r="B52" s="87" t="s">
        <v>527</v>
      </c>
      <c r="C52" s="1017"/>
      <c r="D52" s="961"/>
      <c r="E52" s="961"/>
      <c r="F52" s="961">
        <v>2</v>
      </c>
      <c r="G52" s="961"/>
      <c r="H52" s="961"/>
      <c r="I52" s="961"/>
      <c r="J52" s="962"/>
      <c r="K52" s="962"/>
      <c r="L52" s="99">
        <f aca="true" t="shared" si="2" ref="L52:L69">SUM(C52:K52)</f>
        <v>2</v>
      </c>
      <c r="M52" s="953"/>
    </row>
    <row r="53" spans="1:13" s="950" customFormat="1" ht="9.75">
      <c r="A53" s="1016">
        <v>3</v>
      </c>
      <c r="B53" s="87" t="s">
        <v>121</v>
      </c>
      <c r="C53" s="1017"/>
      <c r="D53" s="961">
        <v>4</v>
      </c>
      <c r="E53" s="961"/>
      <c r="F53" s="961"/>
      <c r="G53" s="961"/>
      <c r="H53" s="961"/>
      <c r="I53" s="961"/>
      <c r="J53" s="962"/>
      <c r="K53" s="962"/>
      <c r="L53" s="99">
        <f t="shared" si="2"/>
        <v>4</v>
      </c>
      <c r="M53" s="953"/>
    </row>
    <row r="54" spans="1:13" s="950" customFormat="1" ht="9.75">
      <c r="A54" s="1016">
        <v>4</v>
      </c>
      <c r="B54" s="87" t="s">
        <v>162</v>
      </c>
      <c r="C54" s="1017">
        <v>3</v>
      </c>
      <c r="D54" s="961">
        <v>1</v>
      </c>
      <c r="E54" s="961"/>
      <c r="F54" s="961"/>
      <c r="G54" s="961"/>
      <c r="H54" s="961"/>
      <c r="I54" s="961"/>
      <c r="J54" s="962"/>
      <c r="K54" s="962"/>
      <c r="L54" s="99">
        <f t="shared" si="2"/>
        <v>4</v>
      </c>
      <c r="M54" s="953"/>
    </row>
    <row r="55" spans="1:13" s="950" customFormat="1" ht="9.75">
      <c r="A55" s="1016">
        <v>5</v>
      </c>
      <c r="B55" s="87" t="s">
        <v>608</v>
      </c>
      <c r="C55" s="1017"/>
      <c r="D55" s="961"/>
      <c r="E55" s="961">
        <v>4</v>
      </c>
      <c r="F55" s="961"/>
      <c r="G55" s="961"/>
      <c r="H55" s="961"/>
      <c r="I55" s="961"/>
      <c r="J55" s="962"/>
      <c r="K55" s="962"/>
      <c r="L55" s="99">
        <f t="shared" si="2"/>
        <v>4</v>
      </c>
      <c r="M55" s="953"/>
    </row>
    <row r="56" spans="1:13" s="950" customFormat="1" ht="9.75">
      <c r="A56" s="1016">
        <v>6</v>
      </c>
      <c r="B56" s="87" t="s">
        <v>607</v>
      </c>
      <c r="C56" s="1017"/>
      <c r="D56" s="961">
        <v>1</v>
      </c>
      <c r="E56" s="961"/>
      <c r="F56" s="961">
        <v>3</v>
      </c>
      <c r="G56" s="961"/>
      <c r="H56" s="961"/>
      <c r="I56" s="961"/>
      <c r="J56" s="962"/>
      <c r="K56" s="962"/>
      <c r="L56" s="99">
        <f t="shared" si="2"/>
        <v>4</v>
      </c>
      <c r="M56" s="953"/>
    </row>
    <row r="57" spans="1:13" s="950" customFormat="1" ht="9.75">
      <c r="A57" s="1016">
        <v>7</v>
      </c>
      <c r="B57" s="87" t="s">
        <v>180</v>
      </c>
      <c r="C57" s="1017"/>
      <c r="D57" s="961"/>
      <c r="E57" s="961"/>
      <c r="F57" s="961"/>
      <c r="G57" s="961">
        <v>4</v>
      </c>
      <c r="H57" s="961"/>
      <c r="I57" s="961"/>
      <c r="J57" s="962"/>
      <c r="K57" s="962"/>
      <c r="L57" s="99">
        <f t="shared" si="2"/>
        <v>4</v>
      </c>
      <c r="M57" s="953"/>
    </row>
    <row r="58" spans="1:13" s="950" customFormat="1" ht="9.75">
      <c r="A58" s="1016">
        <v>8</v>
      </c>
      <c r="B58" s="87" t="s">
        <v>116</v>
      </c>
      <c r="C58" s="1017"/>
      <c r="D58" s="961">
        <v>1</v>
      </c>
      <c r="E58" s="961">
        <v>2</v>
      </c>
      <c r="F58" s="961"/>
      <c r="G58" s="961"/>
      <c r="H58" s="961"/>
      <c r="I58" s="961"/>
      <c r="J58" s="962"/>
      <c r="K58" s="962"/>
      <c r="L58" s="99">
        <f t="shared" si="2"/>
        <v>3</v>
      </c>
      <c r="M58" s="953"/>
    </row>
    <row r="59" spans="1:13" s="950" customFormat="1" ht="9.75">
      <c r="A59" s="1016">
        <v>9</v>
      </c>
      <c r="B59" s="87" t="s">
        <v>528</v>
      </c>
      <c r="C59" s="1017"/>
      <c r="D59" s="961"/>
      <c r="E59" s="961"/>
      <c r="F59" s="961">
        <v>2</v>
      </c>
      <c r="G59" s="961"/>
      <c r="H59" s="961"/>
      <c r="I59" s="961"/>
      <c r="J59" s="962"/>
      <c r="K59" s="962"/>
      <c r="L59" s="99">
        <f t="shared" si="2"/>
        <v>2</v>
      </c>
      <c r="M59" s="953"/>
    </row>
    <row r="60" spans="1:13" s="950" customFormat="1" ht="9.75">
      <c r="A60" s="1016">
        <v>10</v>
      </c>
      <c r="B60" s="87" t="s">
        <v>122</v>
      </c>
      <c r="C60" s="1017"/>
      <c r="D60" s="961"/>
      <c r="E60" s="961"/>
      <c r="F60" s="961"/>
      <c r="G60" s="961">
        <v>3</v>
      </c>
      <c r="H60" s="961"/>
      <c r="I60" s="961"/>
      <c r="J60" s="962"/>
      <c r="K60" s="962"/>
      <c r="L60" s="99">
        <f t="shared" si="2"/>
        <v>3</v>
      </c>
      <c r="M60" s="953"/>
    </row>
    <row r="61" spans="1:13" s="950" customFormat="1" ht="9.75">
      <c r="A61" s="1016">
        <v>11</v>
      </c>
      <c r="B61" s="87" t="s">
        <v>117</v>
      </c>
      <c r="C61" s="1017"/>
      <c r="D61" s="961"/>
      <c r="E61" s="961"/>
      <c r="F61" s="961"/>
      <c r="G61" s="961">
        <v>3</v>
      </c>
      <c r="H61" s="961"/>
      <c r="I61" s="961"/>
      <c r="J61" s="962"/>
      <c r="K61" s="962"/>
      <c r="L61" s="99">
        <f t="shared" si="2"/>
        <v>3</v>
      </c>
      <c r="M61" s="953"/>
    </row>
    <row r="62" spans="1:13" s="950" customFormat="1" ht="9.75">
      <c r="A62" s="1016">
        <v>12</v>
      </c>
      <c r="B62" s="87" t="s">
        <v>277</v>
      </c>
      <c r="C62" s="1017"/>
      <c r="D62" s="961"/>
      <c r="E62" s="961">
        <v>3</v>
      </c>
      <c r="F62" s="961"/>
      <c r="G62" s="961"/>
      <c r="H62" s="961"/>
      <c r="I62" s="961"/>
      <c r="J62" s="962"/>
      <c r="K62" s="962"/>
      <c r="L62" s="99">
        <f t="shared" si="2"/>
        <v>3</v>
      </c>
      <c r="M62" s="953"/>
    </row>
    <row r="63" spans="1:13" s="950" customFormat="1" ht="9.75">
      <c r="A63" s="1016">
        <v>13</v>
      </c>
      <c r="B63" s="1018" t="s">
        <v>622</v>
      </c>
      <c r="C63" s="1017"/>
      <c r="D63" s="961"/>
      <c r="E63" s="961"/>
      <c r="F63" s="961"/>
      <c r="G63" s="961">
        <v>3</v>
      </c>
      <c r="H63" s="961"/>
      <c r="I63" s="961"/>
      <c r="J63" s="962"/>
      <c r="K63" s="962"/>
      <c r="L63" s="99">
        <f t="shared" si="2"/>
        <v>3</v>
      </c>
      <c r="M63" s="953"/>
    </row>
    <row r="64" spans="1:13" s="950" customFormat="1" ht="9.75">
      <c r="A64" s="1016">
        <v>14</v>
      </c>
      <c r="B64" s="87" t="s">
        <v>119</v>
      </c>
      <c r="C64" s="1017"/>
      <c r="D64" s="961"/>
      <c r="E64" s="961"/>
      <c r="F64" s="961"/>
      <c r="G64" s="961">
        <v>3</v>
      </c>
      <c r="H64" s="961"/>
      <c r="I64" s="961"/>
      <c r="J64" s="962"/>
      <c r="K64" s="962"/>
      <c r="L64" s="99">
        <f t="shared" si="2"/>
        <v>3</v>
      </c>
      <c r="M64" s="953"/>
    </row>
    <row r="65" spans="1:13" s="950" customFormat="1" ht="9.75">
      <c r="A65" s="1016">
        <v>15</v>
      </c>
      <c r="B65" s="87" t="s">
        <v>270</v>
      </c>
      <c r="C65" s="1017"/>
      <c r="D65" s="961"/>
      <c r="E65" s="961"/>
      <c r="F65" s="961"/>
      <c r="G65" s="961"/>
      <c r="H65" s="961"/>
      <c r="I65" s="961"/>
      <c r="J65" s="962"/>
      <c r="K65" s="962">
        <v>2</v>
      </c>
      <c r="L65" s="99">
        <f t="shared" si="2"/>
        <v>2</v>
      </c>
      <c r="M65" s="953"/>
    </row>
    <row r="66" spans="1:13" s="950" customFormat="1" ht="9.75">
      <c r="A66" s="1016">
        <v>16</v>
      </c>
      <c r="B66" s="87" t="s">
        <v>255</v>
      </c>
      <c r="C66" s="1017"/>
      <c r="D66" s="961"/>
      <c r="E66" s="961">
        <v>4</v>
      </c>
      <c r="F66" s="961"/>
      <c r="G66" s="961"/>
      <c r="H66" s="961"/>
      <c r="I66" s="961"/>
      <c r="J66" s="962"/>
      <c r="K66" s="962"/>
      <c r="L66" s="99">
        <f t="shared" si="2"/>
        <v>4</v>
      </c>
      <c r="M66" s="953"/>
    </row>
    <row r="67" spans="1:13" s="950" customFormat="1" ht="9.75">
      <c r="A67" s="1016">
        <v>17</v>
      </c>
      <c r="B67" s="87" t="s">
        <v>614</v>
      </c>
      <c r="C67" s="1017"/>
      <c r="D67" s="971"/>
      <c r="E67" s="971"/>
      <c r="F67" s="961"/>
      <c r="G67" s="961">
        <v>4</v>
      </c>
      <c r="H67" s="961"/>
      <c r="I67" s="961"/>
      <c r="J67" s="962"/>
      <c r="K67" s="962"/>
      <c r="L67" s="972">
        <f t="shared" si="2"/>
        <v>4</v>
      </c>
      <c r="M67" s="953"/>
    </row>
    <row r="68" spans="1:13" s="950" customFormat="1" ht="9.75">
      <c r="A68" s="1016">
        <v>18</v>
      </c>
      <c r="B68" s="1019" t="s">
        <v>179</v>
      </c>
      <c r="C68" s="1017"/>
      <c r="D68" s="971"/>
      <c r="E68" s="971"/>
      <c r="F68" s="961"/>
      <c r="G68" s="971" t="s">
        <v>594</v>
      </c>
      <c r="H68" s="961"/>
      <c r="I68" s="961"/>
      <c r="J68" s="962"/>
      <c r="K68" s="962"/>
      <c r="L68" s="972"/>
      <c r="M68" s="953"/>
    </row>
    <row r="69" spans="1:13" s="950" customFormat="1" ht="9.75">
      <c r="A69" s="1016">
        <v>19</v>
      </c>
      <c r="B69" s="1019" t="s">
        <v>624</v>
      </c>
      <c r="C69" s="1017"/>
      <c r="D69" s="971"/>
      <c r="E69" s="971"/>
      <c r="F69" s="961"/>
      <c r="G69" s="961">
        <v>4</v>
      </c>
      <c r="H69" s="961"/>
      <c r="I69" s="961"/>
      <c r="J69" s="962"/>
      <c r="K69" s="962"/>
      <c r="L69" s="972">
        <f t="shared" si="2"/>
        <v>4</v>
      </c>
      <c r="M69" s="953"/>
    </row>
    <row r="70" spans="1:13" s="950" customFormat="1" ht="9.75">
      <c r="A70" s="1016">
        <v>20</v>
      </c>
      <c r="B70" s="1020" t="s">
        <v>623</v>
      </c>
      <c r="C70" s="1017"/>
      <c r="D70" s="971"/>
      <c r="E70" s="971"/>
      <c r="F70" s="961"/>
      <c r="G70" s="971" t="s">
        <v>594</v>
      </c>
      <c r="H70" s="961"/>
      <c r="I70" s="961"/>
      <c r="J70" s="962"/>
      <c r="K70" s="962"/>
      <c r="L70" s="972"/>
      <c r="M70" s="953"/>
    </row>
    <row r="71" spans="2:13" s="950" customFormat="1" ht="9.75">
      <c r="B71" s="973"/>
      <c r="C71" s="965"/>
      <c r="D71" s="974"/>
      <c r="E71" s="974"/>
      <c r="F71" s="974"/>
      <c r="G71" s="965"/>
      <c r="H71" s="974"/>
      <c r="I71" s="965"/>
      <c r="J71" s="966"/>
      <c r="K71" s="966"/>
      <c r="L71" s="974"/>
      <c r="M71" s="975">
        <f>SUM(L51:L70)</f>
        <v>60</v>
      </c>
    </row>
    <row r="72" spans="1:87" s="977" customFormat="1" ht="9.75">
      <c r="A72" s="976"/>
      <c r="B72" s="1015" t="s">
        <v>595</v>
      </c>
      <c r="C72" s="956" t="s">
        <v>578</v>
      </c>
      <c r="D72" s="956" t="s">
        <v>579</v>
      </c>
      <c r="E72" s="956" t="s">
        <v>580</v>
      </c>
      <c r="F72" s="956" t="s">
        <v>581</v>
      </c>
      <c r="G72" s="956" t="s">
        <v>582</v>
      </c>
      <c r="H72" s="956" t="s">
        <v>583</v>
      </c>
      <c r="I72" s="956" t="s">
        <v>584</v>
      </c>
      <c r="J72" s="956" t="s">
        <v>585</v>
      </c>
      <c r="K72" s="956" t="s">
        <v>586</v>
      </c>
      <c r="L72" s="957" t="s">
        <v>587</v>
      </c>
      <c r="M72" s="967"/>
      <c r="N72" s="952"/>
      <c r="O72" s="952"/>
      <c r="P72" s="952"/>
      <c r="Q72" s="952"/>
      <c r="R72" s="952"/>
      <c r="S72" s="952"/>
      <c r="T72" s="952"/>
      <c r="U72" s="952"/>
      <c r="V72" s="952"/>
      <c r="W72" s="952"/>
      <c r="X72" s="952"/>
      <c r="Y72" s="952"/>
      <c r="Z72" s="952"/>
      <c r="AA72" s="952"/>
      <c r="AB72" s="952"/>
      <c r="AC72" s="952"/>
      <c r="AD72" s="952"/>
      <c r="AE72" s="952"/>
      <c r="AF72" s="952"/>
      <c r="AG72" s="952"/>
      <c r="AH72" s="952"/>
      <c r="AI72" s="952"/>
      <c r="AJ72" s="952"/>
      <c r="AK72" s="952"/>
      <c r="AL72" s="952"/>
      <c r="AM72" s="952"/>
      <c r="AN72" s="952"/>
      <c r="AO72" s="952"/>
      <c r="AP72" s="952"/>
      <c r="AQ72" s="952"/>
      <c r="AR72" s="952"/>
      <c r="AS72" s="952"/>
      <c r="AT72" s="952"/>
      <c r="AU72" s="952"/>
      <c r="AV72" s="952"/>
      <c r="AW72" s="952"/>
      <c r="AX72" s="952"/>
      <c r="AY72" s="952"/>
      <c r="AZ72" s="952"/>
      <c r="BA72" s="952"/>
      <c r="BB72" s="952"/>
      <c r="BC72" s="952"/>
      <c r="BD72" s="952"/>
      <c r="BE72" s="952"/>
      <c r="BF72" s="952"/>
      <c r="BG72" s="952"/>
      <c r="BH72" s="952"/>
      <c r="BI72" s="952"/>
      <c r="BJ72" s="952"/>
      <c r="BK72" s="952"/>
      <c r="BL72" s="952"/>
      <c r="BM72" s="952"/>
      <c r="BN72" s="952"/>
      <c r="BO72" s="952"/>
      <c r="BP72" s="952"/>
      <c r="BQ72" s="952"/>
      <c r="BR72" s="952"/>
      <c r="BS72" s="952"/>
      <c r="BT72" s="952"/>
      <c r="BU72" s="952"/>
      <c r="BV72" s="952"/>
      <c r="BW72" s="952"/>
      <c r="BX72" s="952"/>
      <c r="BY72" s="952"/>
      <c r="BZ72" s="952"/>
      <c r="CA72" s="952"/>
      <c r="CB72" s="952"/>
      <c r="CC72" s="952"/>
      <c r="CD72" s="952"/>
      <c r="CE72" s="952"/>
      <c r="CF72" s="952"/>
      <c r="CG72" s="952"/>
      <c r="CH72" s="952"/>
      <c r="CI72" s="952"/>
    </row>
    <row r="73" spans="1:13" s="950" customFormat="1" ht="9.75">
      <c r="A73" s="1016">
        <v>1</v>
      </c>
      <c r="B73" s="1022" t="s">
        <v>617</v>
      </c>
      <c r="C73" s="1017"/>
      <c r="D73" s="961">
        <v>4</v>
      </c>
      <c r="E73" s="961"/>
      <c r="F73" s="961"/>
      <c r="G73" s="961"/>
      <c r="H73" s="961"/>
      <c r="I73" s="961"/>
      <c r="J73" s="962"/>
      <c r="K73" s="962"/>
      <c r="L73" s="540">
        <f>SUM(C73:K73)</f>
        <v>4</v>
      </c>
      <c r="M73" s="953"/>
    </row>
    <row r="74" spans="1:13" s="950" customFormat="1" ht="12" customHeight="1">
      <c r="A74" s="1016">
        <v>2</v>
      </c>
      <c r="B74" s="1018" t="s">
        <v>612</v>
      </c>
      <c r="C74" s="1017"/>
      <c r="D74" s="961"/>
      <c r="E74" s="961">
        <v>4</v>
      </c>
      <c r="F74" s="961"/>
      <c r="G74" s="961"/>
      <c r="H74" s="961"/>
      <c r="I74" s="961"/>
      <c r="J74" s="962"/>
      <c r="K74" s="962"/>
      <c r="L74" s="540">
        <f aca="true" t="shared" si="3" ref="L74:L93">SUM(C74:K74)</f>
        <v>4</v>
      </c>
      <c r="M74" s="953"/>
    </row>
    <row r="75" spans="1:13" s="950" customFormat="1" ht="12" customHeight="1">
      <c r="A75" s="1016">
        <v>3</v>
      </c>
      <c r="B75" s="1018" t="s">
        <v>529</v>
      </c>
      <c r="C75" s="1017"/>
      <c r="D75" s="961"/>
      <c r="E75" s="961">
        <v>4</v>
      </c>
      <c r="F75" s="961"/>
      <c r="G75" s="961"/>
      <c r="H75" s="961"/>
      <c r="I75" s="961"/>
      <c r="J75" s="962"/>
      <c r="K75" s="962"/>
      <c r="L75" s="540">
        <f t="shared" si="3"/>
        <v>4</v>
      </c>
      <c r="M75" s="953"/>
    </row>
    <row r="76" spans="1:13" s="950" customFormat="1" ht="9.75">
      <c r="A76" s="1016">
        <v>4</v>
      </c>
      <c r="B76" s="1018" t="s">
        <v>530</v>
      </c>
      <c r="C76" s="1017"/>
      <c r="D76" s="961"/>
      <c r="E76" s="961"/>
      <c r="F76" s="961">
        <v>2</v>
      </c>
      <c r="G76" s="961"/>
      <c r="H76" s="961"/>
      <c r="I76" s="961"/>
      <c r="J76" s="962"/>
      <c r="K76" s="962"/>
      <c r="L76" s="540">
        <f t="shared" si="3"/>
        <v>2</v>
      </c>
      <c r="M76" s="953"/>
    </row>
    <row r="77" spans="1:13" s="950" customFormat="1" ht="9.75">
      <c r="A77" s="1016">
        <v>5</v>
      </c>
      <c r="B77" s="250" t="s">
        <v>613</v>
      </c>
      <c r="C77" s="1017"/>
      <c r="D77" s="961"/>
      <c r="E77" s="961">
        <v>4</v>
      </c>
      <c r="F77" s="961"/>
      <c r="G77" s="961"/>
      <c r="H77" s="961"/>
      <c r="I77" s="961"/>
      <c r="J77" s="962"/>
      <c r="K77" s="962"/>
      <c r="L77" s="540">
        <f t="shared" si="3"/>
        <v>4</v>
      </c>
      <c r="M77" s="953"/>
    </row>
    <row r="78" spans="1:13" s="950" customFormat="1" ht="12" customHeight="1">
      <c r="A78" s="1016">
        <v>6</v>
      </c>
      <c r="B78" s="250" t="s">
        <v>110</v>
      </c>
      <c r="C78" s="1017"/>
      <c r="D78" s="961"/>
      <c r="E78" s="961"/>
      <c r="F78" s="961"/>
      <c r="G78" s="961"/>
      <c r="H78" s="961">
        <v>3</v>
      </c>
      <c r="I78" s="961"/>
      <c r="J78" s="962"/>
      <c r="K78" s="962"/>
      <c r="L78" s="540">
        <f t="shared" si="3"/>
        <v>3</v>
      </c>
      <c r="M78" s="953"/>
    </row>
    <row r="79" spans="1:13" s="950" customFormat="1" ht="9.75">
      <c r="A79" s="1016">
        <v>7</v>
      </c>
      <c r="B79" s="1022" t="s">
        <v>627</v>
      </c>
      <c r="C79" s="1017"/>
      <c r="D79" s="961"/>
      <c r="E79" s="961">
        <v>3</v>
      </c>
      <c r="F79" s="961"/>
      <c r="G79" s="961"/>
      <c r="H79" s="961"/>
      <c r="I79" s="961"/>
      <c r="J79" s="962"/>
      <c r="K79" s="962"/>
      <c r="L79" s="540">
        <f t="shared" si="3"/>
        <v>3</v>
      </c>
      <c r="M79" s="953"/>
    </row>
    <row r="80" spans="1:13" s="950" customFormat="1" ht="9.75">
      <c r="A80" s="1016">
        <v>8</v>
      </c>
      <c r="B80" s="1018" t="s">
        <v>620</v>
      </c>
      <c r="C80" s="1017"/>
      <c r="D80" s="961"/>
      <c r="E80" s="961">
        <v>4</v>
      </c>
      <c r="F80" s="961"/>
      <c r="G80" s="961"/>
      <c r="H80" s="961"/>
      <c r="I80" s="961"/>
      <c r="J80" s="962"/>
      <c r="K80" s="962"/>
      <c r="L80" s="540">
        <f t="shared" si="3"/>
        <v>4</v>
      </c>
      <c r="M80" s="953"/>
    </row>
    <row r="81" spans="1:13" s="950" customFormat="1" ht="9.75">
      <c r="A81" s="1016">
        <v>9</v>
      </c>
      <c r="B81" s="1018" t="s">
        <v>621</v>
      </c>
      <c r="C81" s="1017"/>
      <c r="D81" s="961"/>
      <c r="E81" s="961"/>
      <c r="F81" s="961">
        <v>3</v>
      </c>
      <c r="G81" s="961"/>
      <c r="H81" s="961"/>
      <c r="I81" s="961"/>
      <c r="J81" s="962"/>
      <c r="K81" s="962"/>
      <c r="L81" s="540">
        <f t="shared" si="3"/>
        <v>3</v>
      </c>
      <c r="M81" s="953"/>
    </row>
    <row r="82" spans="1:13" s="950" customFormat="1" ht="9" customHeight="1">
      <c r="A82" s="1016">
        <v>10</v>
      </c>
      <c r="B82" s="1022" t="s">
        <v>626</v>
      </c>
      <c r="C82" s="1017"/>
      <c r="D82" s="961"/>
      <c r="E82" s="961"/>
      <c r="F82" s="961"/>
      <c r="G82" s="961">
        <v>4</v>
      </c>
      <c r="H82" s="961"/>
      <c r="I82" s="961"/>
      <c r="J82" s="962"/>
      <c r="K82" s="962"/>
      <c r="L82" s="540">
        <f t="shared" si="3"/>
        <v>4</v>
      </c>
      <c r="M82" s="953"/>
    </row>
    <row r="83" spans="1:13" s="950" customFormat="1" ht="9.75">
      <c r="A83" s="1016">
        <v>11</v>
      </c>
      <c r="B83" s="250" t="s">
        <v>256</v>
      </c>
      <c r="C83" s="1021"/>
      <c r="D83" s="961"/>
      <c r="E83" s="961"/>
      <c r="F83" s="961">
        <v>1</v>
      </c>
      <c r="G83" s="961">
        <v>1</v>
      </c>
      <c r="H83" s="961"/>
      <c r="I83" s="961"/>
      <c r="J83" s="962">
        <v>1</v>
      </c>
      <c r="K83" s="962"/>
      <c r="L83" s="540">
        <f t="shared" si="3"/>
        <v>3</v>
      </c>
      <c r="M83" s="953"/>
    </row>
    <row r="84" spans="1:13" s="950" customFormat="1" ht="9.75">
      <c r="A84" s="1016">
        <v>12</v>
      </c>
      <c r="B84" s="250" t="s">
        <v>279</v>
      </c>
      <c r="C84" s="1017"/>
      <c r="D84" s="961"/>
      <c r="E84" s="961"/>
      <c r="F84" s="961">
        <v>1</v>
      </c>
      <c r="G84" s="961">
        <v>1</v>
      </c>
      <c r="H84" s="961"/>
      <c r="I84" s="961">
        <v>1</v>
      </c>
      <c r="J84" s="962"/>
      <c r="K84" s="962">
        <v>1</v>
      </c>
      <c r="L84" s="540">
        <f t="shared" si="3"/>
        <v>4</v>
      </c>
      <c r="M84" s="953"/>
    </row>
    <row r="85" spans="1:13" s="950" customFormat="1" ht="9.75">
      <c r="A85" s="1016">
        <v>13</v>
      </c>
      <c r="B85" s="1023" t="s">
        <v>611</v>
      </c>
      <c r="C85" s="1021"/>
      <c r="D85" s="961">
        <v>4</v>
      </c>
      <c r="E85" s="961"/>
      <c r="F85" s="961"/>
      <c r="G85" s="961"/>
      <c r="H85" s="961">
        <v>1</v>
      </c>
      <c r="I85" s="961"/>
      <c r="J85" s="962"/>
      <c r="K85" s="962"/>
      <c r="L85" s="972">
        <f t="shared" si="3"/>
        <v>5</v>
      </c>
      <c r="M85" s="953"/>
    </row>
    <row r="86" spans="1:13" s="950" customFormat="1" ht="9.75">
      <c r="A86" s="1016">
        <v>14</v>
      </c>
      <c r="B86" s="1023" t="s">
        <v>616</v>
      </c>
      <c r="C86" s="1017"/>
      <c r="D86" s="971" t="s">
        <v>594</v>
      </c>
      <c r="E86" s="961"/>
      <c r="F86" s="961"/>
      <c r="G86" s="961"/>
      <c r="H86" s="971" t="s">
        <v>596</v>
      </c>
      <c r="I86" s="961"/>
      <c r="J86" s="962"/>
      <c r="K86" s="962"/>
      <c r="L86" s="972"/>
      <c r="M86" s="953"/>
    </row>
    <row r="87" spans="1:13" s="950" customFormat="1" ht="9.75">
      <c r="A87" s="1016">
        <v>15</v>
      </c>
      <c r="B87" s="1024" t="s">
        <v>615</v>
      </c>
      <c r="C87" s="1017"/>
      <c r="D87" s="961">
        <v>4</v>
      </c>
      <c r="E87" s="971"/>
      <c r="F87" s="961"/>
      <c r="G87" s="961"/>
      <c r="H87" s="971"/>
      <c r="I87" s="971"/>
      <c r="J87" s="962"/>
      <c r="K87" s="962"/>
      <c r="L87" s="972">
        <f t="shared" si="3"/>
        <v>4</v>
      </c>
      <c r="M87" s="953"/>
    </row>
    <row r="88" spans="1:13" s="950" customFormat="1" ht="9.75">
      <c r="A88" s="1016">
        <v>16</v>
      </c>
      <c r="B88" s="1024" t="s">
        <v>610</v>
      </c>
      <c r="C88" s="1017"/>
      <c r="D88" s="971" t="s">
        <v>594</v>
      </c>
      <c r="E88" s="971"/>
      <c r="F88" s="961"/>
      <c r="G88" s="961"/>
      <c r="H88" s="971"/>
      <c r="I88" s="971"/>
      <c r="J88" s="962"/>
      <c r="K88" s="962"/>
      <c r="L88" s="972"/>
      <c r="M88" s="953"/>
    </row>
    <row r="89" spans="1:13" s="950" customFormat="1" ht="9.75">
      <c r="A89" s="1016">
        <v>17</v>
      </c>
      <c r="B89" s="250" t="s">
        <v>618</v>
      </c>
      <c r="C89" s="1017"/>
      <c r="D89" s="961"/>
      <c r="E89" s="961">
        <v>3</v>
      </c>
      <c r="F89" s="961"/>
      <c r="G89" s="961"/>
      <c r="H89" s="961"/>
      <c r="I89" s="961"/>
      <c r="J89" s="962"/>
      <c r="K89" s="962"/>
      <c r="L89" s="972">
        <f t="shared" si="3"/>
        <v>3</v>
      </c>
      <c r="M89" s="953"/>
    </row>
    <row r="90" spans="1:13" s="950" customFormat="1" ht="9.75">
      <c r="A90" s="1016">
        <v>18</v>
      </c>
      <c r="B90" s="1018" t="s">
        <v>625</v>
      </c>
      <c r="C90" s="1017"/>
      <c r="D90" s="961"/>
      <c r="E90" s="971" t="s">
        <v>597</v>
      </c>
      <c r="F90" s="961"/>
      <c r="G90" s="961"/>
      <c r="H90" s="961"/>
      <c r="I90" s="961"/>
      <c r="J90" s="962"/>
      <c r="K90" s="962"/>
      <c r="L90" s="972"/>
      <c r="M90" s="953"/>
    </row>
    <row r="91" spans="1:13" s="950" customFormat="1" ht="9.75">
      <c r="A91" s="1016">
        <v>19</v>
      </c>
      <c r="B91" s="250" t="s">
        <v>609</v>
      </c>
      <c r="C91" s="1017"/>
      <c r="D91" s="961"/>
      <c r="E91" s="961"/>
      <c r="F91" s="961"/>
      <c r="G91" s="961"/>
      <c r="H91" s="961">
        <v>3</v>
      </c>
      <c r="I91" s="961"/>
      <c r="J91" s="962"/>
      <c r="K91" s="962"/>
      <c r="L91" s="972">
        <f t="shared" si="3"/>
        <v>3</v>
      </c>
      <c r="M91" s="953"/>
    </row>
    <row r="92" spans="1:13" s="950" customFormat="1" ht="9.75">
      <c r="A92" s="1016">
        <v>20</v>
      </c>
      <c r="B92" s="250" t="s">
        <v>160</v>
      </c>
      <c r="C92" s="1017"/>
      <c r="D92" s="961"/>
      <c r="E92" s="961"/>
      <c r="F92" s="961"/>
      <c r="G92" s="961"/>
      <c r="H92" s="971" t="s">
        <v>597</v>
      </c>
      <c r="I92" s="961"/>
      <c r="J92" s="962"/>
      <c r="K92" s="962"/>
      <c r="L92" s="972"/>
      <c r="M92" s="953"/>
    </row>
    <row r="93" spans="1:13" s="950" customFormat="1" ht="9.75">
      <c r="A93" s="1016">
        <v>21</v>
      </c>
      <c r="B93" s="250" t="s">
        <v>619</v>
      </c>
      <c r="C93" s="1017"/>
      <c r="D93" s="961"/>
      <c r="E93" s="961">
        <v>3</v>
      </c>
      <c r="F93" s="961"/>
      <c r="G93" s="971"/>
      <c r="H93" s="961"/>
      <c r="I93" s="971"/>
      <c r="J93" s="971"/>
      <c r="K93" s="962"/>
      <c r="L93" s="972">
        <f t="shared" si="3"/>
        <v>3</v>
      </c>
      <c r="M93" s="953"/>
    </row>
    <row r="94" spans="1:13" s="950" customFormat="1" ht="9.75">
      <c r="A94" s="1016">
        <v>22</v>
      </c>
      <c r="B94" s="250" t="s">
        <v>161</v>
      </c>
      <c r="C94" s="1017"/>
      <c r="D94" s="961"/>
      <c r="E94" s="971" t="s">
        <v>597</v>
      </c>
      <c r="F94" s="961"/>
      <c r="G94" s="971"/>
      <c r="H94" s="961"/>
      <c r="I94" s="971"/>
      <c r="J94" s="971"/>
      <c r="K94" s="962"/>
      <c r="L94" s="972"/>
      <c r="M94" s="953"/>
    </row>
    <row r="95" spans="2:13" s="950" customFormat="1" ht="9.75">
      <c r="B95" s="951" t="s">
        <v>598</v>
      </c>
      <c r="C95" s="975">
        <f aca="true" t="shared" si="4" ref="C95:K95">SUM(C13:C94)</f>
        <v>36</v>
      </c>
      <c r="D95" s="975">
        <f t="shared" si="4"/>
        <v>63</v>
      </c>
      <c r="E95" s="975">
        <f t="shared" si="4"/>
        <v>69</v>
      </c>
      <c r="F95" s="975">
        <f t="shared" si="4"/>
        <v>18</v>
      </c>
      <c r="G95" s="975">
        <f t="shared" si="4"/>
        <v>30</v>
      </c>
      <c r="H95" s="975">
        <f t="shared" si="4"/>
        <v>7</v>
      </c>
      <c r="I95" s="975">
        <f t="shared" si="4"/>
        <v>3</v>
      </c>
      <c r="J95" s="975">
        <f t="shared" si="4"/>
        <v>7</v>
      </c>
      <c r="K95" s="975">
        <f t="shared" si="4"/>
        <v>7</v>
      </c>
      <c r="L95" s="975">
        <f>SUM(C95:K95)</f>
        <v>240</v>
      </c>
      <c r="M95" s="967"/>
    </row>
    <row r="96" spans="2:13" s="950" customFormat="1" ht="9.75">
      <c r="B96" s="951"/>
      <c r="C96" s="979">
        <f>C95/L95</f>
        <v>0.15</v>
      </c>
      <c r="D96" s="979">
        <f>D95/L95</f>
        <v>0.2625</v>
      </c>
      <c r="E96" s="979">
        <f>E95/L95</f>
        <v>0.2875</v>
      </c>
      <c r="F96" s="979">
        <f>F95/L95</f>
        <v>0.075</v>
      </c>
      <c r="G96" s="979">
        <f>G95/L95</f>
        <v>0.125</v>
      </c>
      <c r="H96" s="979">
        <f>H95/L95</f>
        <v>0.029166666666666667</v>
      </c>
      <c r="I96" s="979">
        <f>I95/L95</f>
        <v>0.0125</v>
      </c>
      <c r="J96" s="979">
        <f>J95/L95</f>
        <v>0.029166666666666667</v>
      </c>
      <c r="K96" s="979">
        <f>K95/L95</f>
        <v>0.029166666666666667</v>
      </c>
      <c r="L96" s="979">
        <f>SUM(C96:K96)</f>
        <v>0.9999999999999999</v>
      </c>
      <c r="M96" s="953"/>
    </row>
    <row r="97" spans="3:13" s="950" customFormat="1" ht="9.75">
      <c r="C97" s="966"/>
      <c r="D97" s="966"/>
      <c r="E97" s="966"/>
      <c r="F97" s="966"/>
      <c r="G97" s="966"/>
      <c r="H97" s="966"/>
      <c r="I97" s="966"/>
      <c r="J97" s="966"/>
      <c r="K97" s="966"/>
      <c r="L97" s="953"/>
      <c r="M97" s="953"/>
    </row>
    <row r="98" spans="2:13" s="950" customFormat="1" ht="9.75">
      <c r="B98" s="951" t="s">
        <v>14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53"/>
      <c r="M98" s="953"/>
    </row>
    <row r="99" spans="1:13" s="950" customFormat="1" ht="9.75">
      <c r="A99" s="980"/>
      <c r="B99" s="981" t="s">
        <v>57</v>
      </c>
      <c r="C99" s="982" t="s">
        <v>578</v>
      </c>
      <c r="D99" s="982" t="s">
        <v>579</v>
      </c>
      <c r="E99" s="982" t="s">
        <v>580</v>
      </c>
      <c r="F99" s="982" t="s">
        <v>581</v>
      </c>
      <c r="G99" s="982" t="s">
        <v>582</v>
      </c>
      <c r="H99" s="982" t="s">
        <v>583</v>
      </c>
      <c r="I99" s="982" t="s">
        <v>584</v>
      </c>
      <c r="J99" s="982" t="s">
        <v>585</v>
      </c>
      <c r="K99" s="982" t="s">
        <v>586</v>
      </c>
      <c r="L99" s="983" t="s">
        <v>587</v>
      </c>
      <c r="M99" s="953"/>
    </row>
    <row r="100" spans="1:17" s="952" customFormat="1" ht="9.75">
      <c r="A100" s="939">
        <v>1</v>
      </c>
      <c r="B100" s="984" t="s">
        <v>136</v>
      </c>
      <c r="C100" s="985">
        <v>4</v>
      </c>
      <c r="D100" s="985"/>
      <c r="E100" s="985"/>
      <c r="F100" s="985"/>
      <c r="G100" s="985"/>
      <c r="H100" s="985"/>
      <c r="I100" s="985"/>
      <c r="J100" s="985"/>
      <c r="K100" s="985"/>
      <c r="L100" s="985">
        <f>SUM(C100:K100)</f>
        <v>4</v>
      </c>
      <c r="M100" s="953"/>
      <c r="N100" s="986"/>
      <c r="O100" s="986"/>
      <c r="P100" s="986"/>
      <c r="Q100" s="986"/>
    </row>
    <row r="101" spans="1:17" s="952" customFormat="1" ht="9.75">
      <c r="A101" s="939">
        <v>2</v>
      </c>
      <c r="B101" s="984" t="s">
        <v>137</v>
      </c>
      <c r="C101" s="985">
        <v>4</v>
      </c>
      <c r="D101" s="985"/>
      <c r="E101" s="985"/>
      <c r="F101" s="985"/>
      <c r="G101" s="985"/>
      <c r="H101" s="985"/>
      <c r="I101" s="985"/>
      <c r="J101" s="985"/>
      <c r="K101" s="985"/>
      <c r="L101" s="985">
        <f>SUM(C101:K101)</f>
        <v>4</v>
      </c>
      <c r="M101" s="953"/>
      <c r="N101" s="986"/>
      <c r="O101" s="986"/>
      <c r="P101" s="986"/>
      <c r="Q101" s="986"/>
    </row>
    <row r="102" spans="1:17" s="952" customFormat="1" ht="9.75">
      <c r="A102" s="939">
        <v>3</v>
      </c>
      <c r="B102" s="984" t="s">
        <v>147</v>
      </c>
      <c r="C102" s="985"/>
      <c r="D102" s="985"/>
      <c r="E102" s="985"/>
      <c r="F102" s="985"/>
      <c r="G102" s="985"/>
      <c r="H102" s="985"/>
      <c r="I102" s="985"/>
      <c r="J102" s="987"/>
      <c r="K102" s="987"/>
      <c r="L102" s="985">
        <v>5</v>
      </c>
      <c r="M102" s="953"/>
      <c r="N102" s="986"/>
      <c r="O102" s="986"/>
      <c r="P102" s="986"/>
      <c r="Q102" s="986"/>
    </row>
    <row r="103" spans="1:17" s="952" customFormat="1" ht="9.75">
      <c r="A103" s="939">
        <v>4</v>
      </c>
      <c r="B103" s="984" t="s">
        <v>149</v>
      </c>
      <c r="C103" s="988"/>
      <c r="D103" s="988"/>
      <c r="E103" s="988"/>
      <c r="F103" s="988"/>
      <c r="G103" s="988"/>
      <c r="H103" s="988"/>
      <c r="I103" s="988"/>
      <c r="J103" s="987"/>
      <c r="K103" s="989"/>
      <c r="L103" s="985">
        <v>5</v>
      </c>
      <c r="M103" s="953"/>
      <c r="N103" s="986"/>
      <c r="O103" s="986"/>
      <c r="P103" s="986"/>
      <c r="Q103" s="986"/>
    </row>
    <row r="104" spans="1:17" s="952" customFormat="1" ht="9.75">
      <c r="A104" s="986"/>
      <c r="B104" s="990"/>
      <c r="C104" s="990"/>
      <c r="D104" s="990"/>
      <c r="E104" s="990"/>
      <c r="F104" s="990"/>
      <c r="G104" s="990"/>
      <c r="H104" s="990"/>
      <c r="I104" s="990"/>
      <c r="J104" s="991"/>
      <c r="K104" s="991"/>
      <c r="L104" s="990"/>
      <c r="M104" s="953"/>
      <c r="N104" s="986"/>
      <c r="O104" s="986"/>
      <c r="P104" s="986"/>
      <c r="Q104" s="986"/>
    </row>
    <row r="105" spans="1:17" s="952" customFormat="1" ht="9.75">
      <c r="A105" s="992"/>
      <c r="B105" s="993" t="s">
        <v>58</v>
      </c>
      <c r="C105" s="982" t="s">
        <v>578</v>
      </c>
      <c r="D105" s="982" t="s">
        <v>579</v>
      </c>
      <c r="E105" s="982" t="s">
        <v>580</v>
      </c>
      <c r="F105" s="982" t="s">
        <v>581</v>
      </c>
      <c r="G105" s="982" t="s">
        <v>582</v>
      </c>
      <c r="H105" s="982" t="s">
        <v>583</v>
      </c>
      <c r="I105" s="982" t="s">
        <v>584</v>
      </c>
      <c r="J105" s="982" t="s">
        <v>585</v>
      </c>
      <c r="K105" s="982" t="s">
        <v>586</v>
      </c>
      <c r="L105" s="983" t="s">
        <v>587</v>
      </c>
      <c r="M105" s="953"/>
      <c r="N105" s="986"/>
      <c r="O105" s="986"/>
      <c r="P105" s="986"/>
      <c r="Q105" s="986"/>
    </row>
    <row r="106" spans="1:17" s="952" customFormat="1" ht="9.75">
      <c r="A106" s="994">
        <v>1</v>
      </c>
      <c r="B106" s="995" t="s">
        <v>151</v>
      </c>
      <c r="C106" s="996"/>
      <c r="D106" s="996"/>
      <c r="E106" s="994"/>
      <c r="F106" s="994"/>
      <c r="G106" s="994"/>
      <c r="H106" s="994"/>
      <c r="I106" s="994"/>
      <c r="J106" s="997"/>
      <c r="K106" s="998"/>
      <c r="L106" s="996">
        <v>5</v>
      </c>
      <c r="M106" s="953"/>
      <c r="N106" s="986"/>
      <c r="O106" s="986"/>
      <c r="P106" s="986"/>
      <c r="Q106" s="986"/>
    </row>
    <row r="107" spans="1:17" s="952" customFormat="1" ht="9.75">
      <c r="A107" s="994">
        <v>2</v>
      </c>
      <c r="B107" s="995" t="s">
        <v>599</v>
      </c>
      <c r="C107" s="996"/>
      <c r="D107" s="996"/>
      <c r="E107" s="994"/>
      <c r="F107" s="994"/>
      <c r="G107" s="994"/>
      <c r="H107" s="994"/>
      <c r="I107" s="994"/>
      <c r="J107" s="997"/>
      <c r="K107" s="998"/>
      <c r="L107" s="996">
        <v>5</v>
      </c>
      <c r="M107" s="953"/>
      <c r="N107" s="986"/>
      <c r="O107" s="986"/>
      <c r="P107" s="986"/>
      <c r="Q107" s="986"/>
    </row>
    <row r="108" spans="2:17" s="952" customFormat="1" ht="9.75">
      <c r="B108" s="990"/>
      <c r="C108" s="990"/>
      <c r="D108" s="990"/>
      <c r="E108" s="990"/>
      <c r="F108" s="990"/>
      <c r="G108" s="990"/>
      <c r="H108" s="990"/>
      <c r="I108" s="990"/>
      <c r="J108" s="991"/>
      <c r="K108" s="991"/>
      <c r="L108" s="990"/>
      <c r="M108" s="953"/>
      <c r="N108" s="986"/>
      <c r="O108" s="986"/>
      <c r="P108" s="986"/>
      <c r="Q108" s="986"/>
    </row>
    <row r="109" spans="1:17" s="952" customFormat="1" ht="9.75">
      <c r="A109" s="999"/>
      <c r="B109" s="981" t="s">
        <v>63</v>
      </c>
      <c r="C109" s="982" t="s">
        <v>578</v>
      </c>
      <c r="D109" s="982" t="s">
        <v>579</v>
      </c>
      <c r="E109" s="982" t="s">
        <v>580</v>
      </c>
      <c r="F109" s="982" t="s">
        <v>581</v>
      </c>
      <c r="G109" s="982" t="s">
        <v>582</v>
      </c>
      <c r="H109" s="982" t="s">
        <v>583</v>
      </c>
      <c r="I109" s="982" t="s">
        <v>584</v>
      </c>
      <c r="J109" s="982" t="s">
        <v>585</v>
      </c>
      <c r="K109" s="982" t="s">
        <v>586</v>
      </c>
      <c r="L109" s="983" t="s">
        <v>587</v>
      </c>
      <c r="M109" s="953"/>
      <c r="N109" s="986"/>
      <c r="O109" s="986"/>
      <c r="P109" s="986"/>
      <c r="Q109" s="986"/>
    </row>
    <row r="110" spans="1:17" s="952" customFormat="1" ht="9.75">
      <c r="A110" s="939">
        <v>1</v>
      </c>
      <c r="B110" s="984" t="s">
        <v>163</v>
      </c>
      <c r="C110" s="988"/>
      <c r="D110" s="988"/>
      <c r="E110" s="988"/>
      <c r="F110" s="988"/>
      <c r="G110" s="988"/>
      <c r="H110" s="988"/>
      <c r="I110" s="988"/>
      <c r="J110" s="989"/>
      <c r="K110" s="989"/>
      <c r="L110" s="1000">
        <v>2</v>
      </c>
      <c r="M110" s="953"/>
      <c r="N110" s="986"/>
      <c r="O110" s="986"/>
      <c r="P110" s="986"/>
      <c r="Q110" s="986"/>
    </row>
    <row r="111" spans="1:17" s="952" customFormat="1" ht="9.75">
      <c r="A111" s="939">
        <v>2</v>
      </c>
      <c r="B111" s="984" t="s">
        <v>165</v>
      </c>
      <c r="C111" s="988"/>
      <c r="D111" s="988"/>
      <c r="E111" s="988"/>
      <c r="F111" s="988"/>
      <c r="G111" s="988"/>
      <c r="H111" s="988"/>
      <c r="I111" s="988"/>
      <c r="J111" s="989"/>
      <c r="K111" s="989"/>
      <c r="L111" s="1000">
        <v>2</v>
      </c>
      <c r="M111" s="953"/>
      <c r="N111" s="986"/>
      <c r="O111" s="986"/>
      <c r="P111" s="986"/>
      <c r="Q111" s="986"/>
    </row>
    <row r="112" spans="1:17" s="952" customFormat="1" ht="9.75">
      <c r="A112" s="939">
        <v>3</v>
      </c>
      <c r="B112" s="984" t="s">
        <v>172</v>
      </c>
      <c r="C112" s="988"/>
      <c r="D112" s="988"/>
      <c r="E112" s="988"/>
      <c r="F112" s="988"/>
      <c r="G112" s="988"/>
      <c r="H112" s="988"/>
      <c r="I112" s="987"/>
      <c r="J112" s="987"/>
      <c r="K112" s="987"/>
      <c r="L112" s="1000">
        <v>3</v>
      </c>
      <c r="M112" s="953"/>
      <c r="N112" s="986"/>
      <c r="O112" s="986"/>
      <c r="P112" s="986"/>
      <c r="Q112" s="986"/>
    </row>
    <row r="113" spans="1:17" s="952" customFormat="1" ht="9.75">
      <c r="A113" s="939">
        <v>4</v>
      </c>
      <c r="B113" s="984" t="s">
        <v>169</v>
      </c>
      <c r="C113" s="988"/>
      <c r="D113" s="988"/>
      <c r="E113" s="988"/>
      <c r="F113" s="988"/>
      <c r="G113" s="988"/>
      <c r="H113" s="988"/>
      <c r="I113" s="988"/>
      <c r="J113" s="989"/>
      <c r="K113" s="989"/>
      <c r="L113" s="1000">
        <v>2</v>
      </c>
      <c r="M113" s="953"/>
      <c r="N113" s="986"/>
      <c r="O113" s="986"/>
      <c r="P113" s="986"/>
      <c r="Q113" s="986"/>
    </row>
    <row r="114" spans="1:17" s="952" customFormat="1" ht="9.75">
      <c r="A114" s="939">
        <v>5</v>
      </c>
      <c r="B114" s="984" t="s">
        <v>171</v>
      </c>
      <c r="C114" s="988"/>
      <c r="D114" s="988"/>
      <c r="E114" s="988"/>
      <c r="F114" s="988"/>
      <c r="G114" s="988"/>
      <c r="H114" s="988"/>
      <c r="I114" s="988"/>
      <c r="J114" s="989"/>
      <c r="K114" s="989"/>
      <c r="L114" s="1000">
        <v>5</v>
      </c>
      <c r="M114" s="953"/>
      <c r="N114" s="986"/>
      <c r="O114" s="986"/>
      <c r="P114" s="986"/>
      <c r="Q114" s="986"/>
    </row>
    <row r="115" spans="1:17" s="952" customFormat="1" ht="9.75">
      <c r="A115" s="939">
        <v>6</v>
      </c>
      <c r="B115" s="960" t="s">
        <v>550</v>
      </c>
      <c r="C115" s="985">
        <v>2</v>
      </c>
      <c r="D115" s="985">
        <v>1</v>
      </c>
      <c r="E115" s="985">
        <v>1</v>
      </c>
      <c r="F115" s="985"/>
      <c r="G115" s="985"/>
      <c r="H115" s="985"/>
      <c r="I115" s="985"/>
      <c r="J115" s="987"/>
      <c r="K115" s="987"/>
      <c r="L115" s="1000">
        <f>SUM(C115:K115)</f>
        <v>4</v>
      </c>
      <c r="M115" s="953"/>
      <c r="N115" s="986"/>
      <c r="O115" s="986"/>
      <c r="P115" s="986"/>
      <c r="Q115" s="986"/>
    </row>
    <row r="116" spans="1:17" s="952" customFormat="1" ht="9.75">
      <c r="A116" s="939">
        <v>7</v>
      </c>
      <c r="B116" s="978" t="s">
        <v>552</v>
      </c>
      <c r="C116" s="985">
        <v>1</v>
      </c>
      <c r="D116" s="985">
        <v>1</v>
      </c>
      <c r="E116" s="985">
        <v>1</v>
      </c>
      <c r="F116" s="985"/>
      <c r="G116" s="985">
        <v>1</v>
      </c>
      <c r="H116" s="985"/>
      <c r="I116" s="985"/>
      <c r="J116" s="987"/>
      <c r="K116" s="987"/>
      <c r="L116" s="1000">
        <f>SUM(C116:K116)</f>
        <v>4</v>
      </c>
      <c r="M116" s="953"/>
      <c r="N116" s="986"/>
      <c r="O116" s="986"/>
      <c r="P116" s="986"/>
      <c r="Q116" s="986"/>
    </row>
    <row r="117" spans="1:17" s="952" customFormat="1" ht="9.75">
      <c r="A117" s="939">
        <v>8</v>
      </c>
      <c r="B117" s="960" t="s">
        <v>551</v>
      </c>
      <c r="C117" s="985">
        <v>2</v>
      </c>
      <c r="D117" s="985">
        <v>1</v>
      </c>
      <c r="E117" s="985">
        <v>1</v>
      </c>
      <c r="F117" s="985"/>
      <c r="G117" s="985"/>
      <c r="H117" s="985"/>
      <c r="I117" s="985"/>
      <c r="J117" s="987"/>
      <c r="K117" s="987"/>
      <c r="L117" s="1000">
        <f>SUM(C117:K117)</f>
        <v>4</v>
      </c>
      <c r="M117" s="953"/>
      <c r="N117" s="986"/>
      <c r="O117" s="986"/>
      <c r="P117" s="986"/>
      <c r="Q117" s="986"/>
    </row>
    <row r="118" spans="1:17" s="952" customFormat="1" ht="9.75">
      <c r="A118" s="939">
        <v>9</v>
      </c>
      <c r="B118" s="960" t="s">
        <v>553</v>
      </c>
      <c r="C118" s="985"/>
      <c r="D118" s="985"/>
      <c r="E118" s="985"/>
      <c r="F118" s="985"/>
      <c r="G118" s="985"/>
      <c r="H118" s="985">
        <v>2</v>
      </c>
      <c r="I118" s="985"/>
      <c r="J118" s="987"/>
      <c r="K118" s="987"/>
      <c r="L118" s="1000">
        <f>SUM(C118:K118)</f>
        <v>2</v>
      </c>
      <c r="M118" s="953"/>
      <c r="N118" s="986"/>
      <c r="O118" s="986"/>
      <c r="P118" s="986"/>
      <c r="Q118" s="986"/>
    </row>
    <row r="119" spans="1:17" s="952" customFormat="1" ht="9.75">
      <c r="A119" s="939">
        <v>10</v>
      </c>
      <c r="B119" s="960" t="s">
        <v>554</v>
      </c>
      <c r="C119" s="985">
        <v>2</v>
      </c>
      <c r="D119" s="985">
        <v>1</v>
      </c>
      <c r="E119" s="985"/>
      <c r="F119" s="985">
        <v>1</v>
      </c>
      <c r="G119" s="985"/>
      <c r="H119" s="985"/>
      <c r="I119" s="987"/>
      <c r="J119" s="987"/>
      <c r="K119" s="987"/>
      <c r="L119" s="1000">
        <f>SUM(C119:K119)</f>
        <v>4</v>
      </c>
      <c r="M119" s="953"/>
      <c r="N119" s="986"/>
      <c r="O119" s="986"/>
      <c r="P119" s="986"/>
      <c r="Q119" s="986"/>
    </row>
    <row r="120" spans="2:17" s="952" customFormat="1" ht="9.75">
      <c r="B120" s="990"/>
      <c r="C120" s="990"/>
      <c r="D120" s="990"/>
      <c r="E120" s="1001"/>
      <c r="F120" s="1001"/>
      <c r="G120" s="1001"/>
      <c r="H120" s="1001"/>
      <c r="I120" s="1001"/>
      <c r="J120" s="991"/>
      <c r="K120" s="991"/>
      <c r="L120" s="1001"/>
      <c r="M120" s="953"/>
      <c r="N120" s="986"/>
      <c r="O120" s="986"/>
      <c r="P120" s="986"/>
      <c r="Q120" s="986"/>
    </row>
    <row r="121" spans="1:17" s="952" customFormat="1" ht="9.75">
      <c r="A121" s="939"/>
      <c r="B121" s="1002" t="s">
        <v>64</v>
      </c>
      <c r="C121" s="940" t="s">
        <v>578</v>
      </c>
      <c r="D121" s="940" t="s">
        <v>579</v>
      </c>
      <c r="E121" s="940" t="s">
        <v>580</v>
      </c>
      <c r="F121" s="940" t="s">
        <v>581</v>
      </c>
      <c r="G121" s="940" t="s">
        <v>582</v>
      </c>
      <c r="H121" s="940" t="s">
        <v>583</v>
      </c>
      <c r="I121" s="940" t="s">
        <v>584</v>
      </c>
      <c r="J121" s="940" t="s">
        <v>585</v>
      </c>
      <c r="K121" s="940" t="s">
        <v>586</v>
      </c>
      <c r="L121" s="941" t="s">
        <v>587</v>
      </c>
      <c r="M121" s="953"/>
      <c r="N121" s="986"/>
      <c r="O121" s="986"/>
      <c r="P121" s="986"/>
      <c r="Q121" s="986"/>
    </row>
    <row r="122" spans="1:17" s="952" customFormat="1" ht="9.75">
      <c r="A122" s="939">
        <v>1</v>
      </c>
      <c r="B122" s="994" t="s">
        <v>555</v>
      </c>
      <c r="C122" s="988"/>
      <c r="D122" s="988"/>
      <c r="E122" s="988"/>
      <c r="F122" s="988"/>
      <c r="G122" s="988"/>
      <c r="H122" s="985">
        <v>2</v>
      </c>
      <c r="I122" s="988"/>
      <c r="J122" s="989"/>
      <c r="K122" s="989"/>
      <c r="L122" s="985">
        <f aca="true" t="shared" si="5" ref="L122:L127">SUM(C122:K122)</f>
        <v>2</v>
      </c>
      <c r="M122" s="953"/>
      <c r="N122" s="986"/>
      <c r="O122" s="986"/>
      <c r="P122" s="986"/>
      <c r="Q122" s="986"/>
    </row>
    <row r="123" spans="1:17" s="952" customFormat="1" ht="9.75">
      <c r="A123" s="939">
        <v>2</v>
      </c>
      <c r="B123" s="994" t="s">
        <v>556</v>
      </c>
      <c r="C123" s="985">
        <v>1</v>
      </c>
      <c r="D123" s="985">
        <v>1</v>
      </c>
      <c r="E123" s="985">
        <v>1</v>
      </c>
      <c r="F123" s="985">
        <v>1</v>
      </c>
      <c r="G123" s="988"/>
      <c r="H123" s="988"/>
      <c r="I123" s="988"/>
      <c r="J123" s="989"/>
      <c r="K123" s="989"/>
      <c r="L123" s="985">
        <f t="shared" si="5"/>
        <v>4</v>
      </c>
      <c r="M123" s="953"/>
      <c r="N123" s="986"/>
      <c r="O123" s="986"/>
      <c r="P123" s="986"/>
      <c r="Q123" s="986"/>
    </row>
    <row r="124" spans="1:17" s="952" customFormat="1" ht="9.75">
      <c r="A124" s="939">
        <v>3</v>
      </c>
      <c r="B124" s="1003" t="s">
        <v>557</v>
      </c>
      <c r="C124" s="985"/>
      <c r="D124" s="987"/>
      <c r="E124" s="987"/>
      <c r="F124" s="987"/>
      <c r="G124" s="987"/>
      <c r="H124" s="987">
        <v>2</v>
      </c>
      <c r="I124" s="987"/>
      <c r="J124" s="987"/>
      <c r="K124" s="985"/>
      <c r="L124" s="985">
        <f t="shared" si="5"/>
        <v>2</v>
      </c>
      <c r="M124" s="953"/>
      <c r="N124" s="986"/>
      <c r="O124" s="986"/>
      <c r="P124" s="986"/>
      <c r="Q124" s="986"/>
    </row>
    <row r="125" spans="1:17" s="952" customFormat="1" ht="9.75">
      <c r="A125" s="939">
        <v>4</v>
      </c>
      <c r="B125" s="1003" t="s">
        <v>558</v>
      </c>
      <c r="C125" s="985">
        <v>1</v>
      </c>
      <c r="D125" s="985">
        <v>1</v>
      </c>
      <c r="E125" s="985">
        <v>1</v>
      </c>
      <c r="F125" s="985">
        <v>1</v>
      </c>
      <c r="G125" s="985"/>
      <c r="H125" s="985"/>
      <c r="I125" s="987"/>
      <c r="J125" s="987"/>
      <c r="K125" s="985"/>
      <c r="L125" s="985">
        <f t="shared" si="5"/>
        <v>4</v>
      </c>
      <c r="M125" s="953"/>
      <c r="N125" s="986"/>
      <c r="O125" s="986"/>
      <c r="P125" s="986"/>
      <c r="Q125" s="986"/>
    </row>
    <row r="126" spans="1:17" s="952" customFormat="1" ht="9.75">
      <c r="A126" s="939">
        <v>5</v>
      </c>
      <c r="B126" s="1004" t="s">
        <v>549</v>
      </c>
      <c r="C126" s="987"/>
      <c r="D126" s="987">
        <v>1</v>
      </c>
      <c r="E126" s="987"/>
      <c r="F126" s="987"/>
      <c r="G126" s="987"/>
      <c r="H126" s="987"/>
      <c r="I126" s="987">
        <v>1</v>
      </c>
      <c r="J126" s="987">
        <v>1</v>
      </c>
      <c r="K126" s="987">
        <v>1</v>
      </c>
      <c r="L126" s="985">
        <f t="shared" si="5"/>
        <v>4</v>
      </c>
      <c r="M126" s="953"/>
      <c r="N126" s="986"/>
      <c r="O126" s="986"/>
      <c r="P126" s="986"/>
      <c r="Q126" s="986"/>
    </row>
    <row r="127" spans="1:17" s="952" customFormat="1" ht="9.75">
      <c r="A127" s="939">
        <v>6</v>
      </c>
      <c r="B127" s="994" t="s">
        <v>559</v>
      </c>
      <c r="C127" s="987"/>
      <c r="D127" s="987">
        <v>1</v>
      </c>
      <c r="E127" s="987"/>
      <c r="F127" s="987"/>
      <c r="G127" s="987"/>
      <c r="H127" s="987"/>
      <c r="I127" s="987">
        <v>1</v>
      </c>
      <c r="J127" s="987">
        <v>1</v>
      </c>
      <c r="K127" s="987">
        <v>1</v>
      </c>
      <c r="L127" s="985">
        <f t="shared" si="5"/>
        <v>4</v>
      </c>
      <c r="M127" s="953"/>
      <c r="N127" s="986"/>
      <c r="O127" s="986"/>
      <c r="P127" s="986"/>
      <c r="Q127" s="986"/>
    </row>
    <row r="128" spans="2:13" s="950" customFormat="1" ht="9.75">
      <c r="B128" s="1005" t="s">
        <v>600</v>
      </c>
      <c r="C128" s="990"/>
      <c r="D128" s="990"/>
      <c r="E128" s="1001"/>
      <c r="F128" s="1001"/>
      <c r="G128" s="1001"/>
      <c r="H128" s="990"/>
      <c r="I128" s="990"/>
      <c r="J128" s="990"/>
      <c r="K128" s="990"/>
      <c r="L128" s="1006">
        <f>SUM(L100:L127)</f>
        <v>80</v>
      </c>
      <c r="M128" s="953"/>
    </row>
    <row r="129" spans="5:7" ht="12.75">
      <c r="E129" s="938"/>
      <c r="F129" s="938"/>
      <c r="G129" s="938"/>
    </row>
    <row r="130" spans="5:7" ht="12.75">
      <c r="E130" s="938"/>
      <c r="F130" s="938"/>
      <c r="G130" s="938"/>
    </row>
    <row r="131" spans="2:10" ht="12.75">
      <c r="B131" s="1007" t="s">
        <v>601</v>
      </c>
      <c r="C131" s="1008"/>
      <c r="D131" s="1253" t="s">
        <v>142</v>
      </c>
      <c r="E131" s="1253"/>
      <c r="F131" s="1253"/>
      <c r="G131" s="1007"/>
      <c r="H131" s="1253" t="s">
        <v>141</v>
      </c>
      <c r="I131" s="1253"/>
      <c r="J131" s="1253"/>
    </row>
    <row r="132" spans="2:10" ht="12.75">
      <c r="B132" s="1007" t="s">
        <v>144</v>
      </c>
      <c r="C132" s="1008"/>
      <c r="D132" s="1253" t="s">
        <v>602</v>
      </c>
      <c r="E132" s="1253"/>
      <c r="F132" s="1253"/>
      <c r="G132" s="1007"/>
      <c r="H132" s="1253" t="s">
        <v>602</v>
      </c>
      <c r="I132" s="1253"/>
      <c r="J132" s="1253"/>
    </row>
    <row r="133" ht="12.75">
      <c r="H133" s="1009"/>
    </row>
  </sheetData>
  <sheetProtection/>
  <mergeCells count="6">
    <mergeCell ref="B5:K5"/>
    <mergeCell ref="B7:K7"/>
    <mergeCell ref="D131:F131"/>
    <mergeCell ref="H131:J131"/>
    <mergeCell ref="D132:F132"/>
    <mergeCell ref="H132:J13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57"/>
  <sheetViews>
    <sheetView zoomScale="80" zoomScaleNormal="80" zoomScalePageLayoutView="0" workbookViewId="0" topLeftCell="A103">
      <selection activeCell="R66" sqref="R66"/>
    </sheetView>
  </sheetViews>
  <sheetFormatPr defaultColWidth="9.140625" defaultRowHeight="12.75"/>
  <cols>
    <col min="1" max="1" width="3.00390625" style="460" bestFit="1" customWidth="1"/>
    <col min="2" max="2" width="32.140625" style="460" customWidth="1"/>
    <col min="3" max="3" width="9.7109375" style="460" bestFit="1" customWidth="1"/>
    <col min="4" max="4" width="4.00390625" style="460" customWidth="1"/>
    <col min="5" max="5" width="2.28125" style="460" customWidth="1"/>
    <col min="6" max="6" width="3.28125" style="460" customWidth="1"/>
    <col min="7" max="7" width="4.28125" style="460" customWidth="1"/>
    <col min="8" max="8" width="3.7109375" style="459" customWidth="1"/>
    <col min="9" max="9" width="6.7109375" style="459" customWidth="1"/>
    <col min="10" max="10" width="4.8515625" style="459" customWidth="1"/>
    <col min="11" max="12" width="3.28125" style="460" customWidth="1"/>
    <col min="13" max="13" width="7.00390625" style="460" customWidth="1"/>
    <col min="14" max="14" width="2.28125" style="460" customWidth="1"/>
    <col min="15" max="15" width="3.28125" style="459" customWidth="1"/>
    <col min="16" max="16" width="6.7109375" style="459" customWidth="1"/>
    <col min="17" max="17" width="4.8515625" style="459" customWidth="1"/>
    <col min="18" max="18" width="12.28125" style="458" customWidth="1"/>
    <col min="19" max="19" width="5.8515625" style="459" customWidth="1"/>
    <col min="20" max="20" width="4.7109375" style="912" bestFit="1" customWidth="1"/>
    <col min="21" max="21" width="7.421875" style="912" bestFit="1" customWidth="1"/>
    <col min="22" max="22" width="4.7109375" style="912" bestFit="1" customWidth="1"/>
    <col min="23" max="23" width="5.00390625" style="912" bestFit="1" customWidth="1"/>
    <col min="24" max="24" width="10.00390625" style="912" customWidth="1"/>
    <col min="25" max="25" width="5.28125" style="459" customWidth="1"/>
    <col min="26" max="26" width="6.28125" style="459" bestFit="1" customWidth="1"/>
    <col min="27" max="27" width="7.28125" style="459" customWidth="1"/>
    <col min="28" max="28" width="6.57421875" style="459" bestFit="1" customWidth="1"/>
    <col min="29" max="30" width="6.28125" style="459" customWidth="1"/>
    <col min="31" max="31" width="8.28125" style="459" customWidth="1"/>
    <col min="32" max="32" width="6.8515625" style="1" customWidth="1"/>
    <col min="33" max="33" width="13.140625" style="1" customWidth="1"/>
    <col min="34" max="34" width="8.8515625" style="1" customWidth="1"/>
    <col min="35" max="35" width="8.7109375" style="1" customWidth="1"/>
    <col min="36" max="36" width="11.140625" style="1" customWidth="1"/>
    <col min="37" max="37" width="8.57421875" style="1" bestFit="1" customWidth="1"/>
    <col min="38" max="38" width="10.00390625" style="1" bestFit="1" customWidth="1"/>
    <col min="39" max="39" width="7.28125" style="1" bestFit="1" customWidth="1"/>
    <col min="40" max="40" width="5.140625" style="1" customWidth="1"/>
    <col min="41" max="41" width="5.00390625" style="1" customWidth="1"/>
    <col min="42" max="42" width="9.140625" style="1" customWidth="1"/>
    <col min="43" max="43" width="44.7109375" style="459" bestFit="1" customWidth="1"/>
    <col min="44" max="44" width="7.8515625" style="459" bestFit="1" customWidth="1"/>
    <col min="45" max="46" width="2.00390625" style="459" bestFit="1" customWidth="1"/>
    <col min="47" max="48" width="1.8515625" style="459" bestFit="1" customWidth="1"/>
    <col min="49" max="49" width="2.421875" style="459" bestFit="1" customWidth="1"/>
    <col min="50" max="50" width="7.28125" style="459" bestFit="1" customWidth="1"/>
    <col min="51" max="52" width="2.00390625" style="459" bestFit="1" customWidth="1"/>
    <col min="53" max="54" width="1.8515625" style="459" bestFit="1" customWidth="1"/>
    <col min="55" max="55" width="2.8515625" style="459" bestFit="1" customWidth="1"/>
    <col min="56" max="56" width="7.28125" style="459" bestFit="1" customWidth="1"/>
    <col min="57" max="63" width="9.140625" style="459" customWidth="1"/>
    <col min="64" max="16384" width="9.140625" style="1" customWidth="1"/>
  </cols>
  <sheetData>
    <row r="1" spans="1:64" ht="9.75">
      <c r="A1" s="1057" t="s">
        <v>15</v>
      </c>
      <c r="B1" s="1057" t="s">
        <v>6</v>
      </c>
      <c r="C1" s="1057" t="s">
        <v>387</v>
      </c>
      <c r="D1" s="1126" t="s">
        <v>7</v>
      </c>
      <c r="E1" s="1127"/>
      <c r="F1" s="1127"/>
      <c r="G1" s="1127"/>
      <c r="H1" s="1127"/>
      <c r="I1" s="1127"/>
      <c r="J1" s="1128"/>
      <c r="K1" s="1126" t="s">
        <v>8</v>
      </c>
      <c r="L1" s="1127"/>
      <c r="M1" s="1127"/>
      <c r="N1" s="1127"/>
      <c r="O1" s="1127"/>
      <c r="P1" s="1127"/>
      <c r="Q1" s="1128"/>
      <c r="AQ1" s="1"/>
      <c r="BL1" s="459"/>
    </row>
    <row r="2" spans="1:63" ht="12.75" customHeight="1">
      <c r="A2" s="1058"/>
      <c r="B2" s="1058"/>
      <c r="C2" s="1058"/>
      <c r="D2" s="1055" t="s">
        <v>9</v>
      </c>
      <c r="E2" s="1053" t="s">
        <v>10</v>
      </c>
      <c r="F2" s="1053" t="s">
        <v>11</v>
      </c>
      <c r="G2" s="1053" t="s">
        <v>12</v>
      </c>
      <c r="H2" s="1053" t="s">
        <v>40</v>
      </c>
      <c r="I2" s="1053" t="s">
        <v>16</v>
      </c>
      <c r="J2" s="1116" t="s">
        <v>17</v>
      </c>
      <c r="K2" s="1055" t="s">
        <v>9</v>
      </c>
      <c r="L2" s="1053" t="s">
        <v>10</v>
      </c>
      <c r="M2" s="1053" t="s">
        <v>11</v>
      </c>
      <c r="N2" s="1053" t="s">
        <v>12</v>
      </c>
      <c r="O2" s="1053" t="s">
        <v>40</v>
      </c>
      <c r="P2" s="1053" t="s">
        <v>16</v>
      </c>
      <c r="Q2" s="1116" t="s">
        <v>17</v>
      </c>
      <c r="T2" s="1286" t="s">
        <v>388</v>
      </c>
      <c r="U2" s="1286"/>
      <c r="V2" s="1286" t="s">
        <v>389</v>
      </c>
      <c r="W2" s="1286"/>
      <c r="X2" s="913"/>
      <c r="Y2" s="462"/>
      <c r="Z2" s="463"/>
      <c r="AA2" s="1"/>
      <c r="AB2" s="463" t="s">
        <v>390</v>
      </c>
      <c r="AC2" s="1"/>
      <c r="AD2" s="1"/>
      <c r="AE2" s="1"/>
      <c r="AL2" s="459"/>
      <c r="AM2" s="459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BG2" s="1"/>
      <c r="BH2" s="1"/>
      <c r="BI2" s="1"/>
      <c r="BJ2" s="1"/>
      <c r="BK2" s="1"/>
    </row>
    <row r="3" spans="1:63" ht="38.25" customHeight="1" thickBot="1">
      <c r="A3" s="1085"/>
      <c r="B3" s="1085"/>
      <c r="C3" s="1125"/>
      <c r="D3" s="1056"/>
      <c r="E3" s="1124"/>
      <c r="F3" s="1054"/>
      <c r="G3" s="1054"/>
      <c r="H3" s="1054"/>
      <c r="I3" s="1054"/>
      <c r="J3" s="1117"/>
      <c r="K3" s="1056"/>
      <c r="L3" s="1054"/>
      <c r="M3" s="1124"/>
      <c r="N3" s="1054"/>
      <c r="O3" s="1054"/>
      <c r="P3" s="1054"/>
      <c r="Q3" s="1285"/>
      <c r="R3" s="465"/>
      <c r="S3" s="466"/>
      <c r="T3" s="913" t="s">
        <v>78</v>
      </c>
      <c r="U3" s="913" t="s">
        <v>79</v>
      </c>
      <c r="V3" s="913" t="s">
        <v>78</v>
      </c>
      <c r="W3" s="913" t="s">
        <v>79</v>
      </c>
      <c r="X3" s="914" t="s">
        <v>391</v>
      </c>
      <c r="Y3" s="462"/>
      <c r="Z3" s="462"/>
      <c r="AA3" s="1"/>
      <c r="AB3" s="461"/>
      <c r="AC3" s="461" t="s">
        <v>34</v>
      </c>
      <c r="AD3" s="467" t="s">
        <v>392</v>
      </c>
      <c r="AE3" s="467" t="s">
        <v>393</v>
      </c>
      <c r="AF3" s="461"/>
      <c r="AG3" s="460"/>
      <c r="AH3" s="460"/>
      <c r="AI3" s="460"/>
      <c r="AJ3" s="460"/>
      <c r="AK3" s="460"/>
      <c r="AL3" s="459"/>
      <c r="AM3" s="459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BG3" s="1"/>
      <c r="BH3" s="1"/>
      <c r="BI3" s="1"/>
      <c r="BJ3" s="1"/>
      <c r="BK3" s="1"/>
    </row>
    <row r="4" spans="1:63" ht="12.75" customHeight="1">
      <c r="A4" s="781">
        <v>1</v>
      </c>
      <c r="B4" s="468" t="s">
        <v>80</v>
      </c>
      <c r="C4" s="469" t="s">
        <v>394</v>
      </c>
      <c r="D4" s="470">
        <v>2</v>
      </c>
      <c r="E4" s="471">
        <v>2</v>
      </c>
      <c r="F4" s="471"/>
      <c r="G4" s="471"/>
      <c r="H4" s="471"/>
      <c r="I4" s="472" t="s">
        <v>81</v>
      </c>
      <c r="J4" s="782">
        <f>INT((3*D4+1.5*E4+1.5*F4+2*G4)*0.56)</f>
        <v>5</v>
      </c>
      <c r="K4" s="783"/>
      <c r="L4" s="784"/>
      <c r="M4" s="784"/>
      <c r="N4" s="784"/>
      <c r="O4" s="784"/>
      <c r="P4" s="784"/>
      <c r="Q4" s="782"/>
      <c r="R4" s="785" t="s">
        <v>395</v>
      </c>
      <c r="S4" s="519"/>
      <c r="T4" s="903">
        <f>14*D4</f>
        <v>28</v>
      </c>
      <c r="U4" s="903">
        <f>14*K4</f>
        <v>0</v>
      </c>
      <c r="V4" s="903">
        <f>14*(SUM(E4:G4))</f>
        <v>28</v>
      </c>
      <c r="W4" s="903">
        <f>14*(SUM(L4:N4))</f>
        <v>0</v>
      </c>
      <c r="X4" s="904">
        <f>SUM(T4:W4)</f>
        <v>56</v>
      </c>
      <c r="Y4" s="474"/>
      <c r="Z4" s="473"/>
      <c r="AA4" s="1"/>
      <c r="AB4" s="475" t="s">
        <v>82</v>
      </c>
      <c r="AC4" s="476">
        <f>SUMIF(C4:C106,"DF*",X4:X106)</f>
        <v>560</v>
      </c>
      <c r="AD4" s="780">
        <f>SUMIF(C4:C106,"DF*",T4:T106)+SUMIF(C4:C106,"DF*",U4:U106)</f>
        <v>266</v>
      </c>
      <c r="AE4" s="476">
        <f>SUMIF(C4:C106,"DF*",V4:V106)+SUMIF(C4:C106,"DF*",W4:W106)</f>
        <v>294</v>
      </c>
      <c r="AF4" s="477">
        <f>AC4/AC8</f>
        <v>0.18867924528301888</v>
      </c>
      <c r="AG4" s="1" t="s">
        <v>83</v>
      </c>
      <c r="AH4" s="460"/>
      <c r="AI4" s="460"/>
      <c r="AJ4" s="460"/>
      <c r="AK4" s="460"/>
      <c r="AL4" s="459"/>
      <c r="AM4" s="459"/>
      <c r="AN4" s="473"/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3"/>
      <c r="BG4" s="1"/>
      <c r="BH4" s="1"/>
      <c r="BI4" s="1"/>
      <c r="BJ4" s="1"/>
      <c r="BK4" s="1"/>
    </row>
    <row r="5" spans="1:63" ht="20.25">
      <c r="A5" s="786">
        <v>2</v>
      </c>
      <c r="B5" s="478" t="s">
        <v>135</v>
      </c>
      <c r="C5" s="479" t="s">
        <v>396</v>
      </c>
      <c r="D5" s="470">
        <v>2</v>
      </c>
      <c r="E5" s="471">
        <v>2</v>
      </c>
      <c r="F5" s="471"/>
      <c r="G5" s="471"/>
      <c r="H5" s="471"/>
      <c r="I5" s="471" t="s">
        <v>81</v>
      </c>
      <c r="J5" s="782">
        <f>INT((3*D5+1.5*E5+1.5*F5+2*G5)*0.56)</f>
        <v>5</v>
      </c>
      <c r="K5" s="787"/>
      <c r="L5" s="788"/>
      <c r="M5" s="788"/>
      <c r="N5" s="788"/>
      <c r="O5" s="788"/>
      <c r="P5" s="788"/>
      <c r="Q5" s="782"/>
      <c r="R5" s="785" t="s">
        <v>395</v>
      </c>
      <c r="S5" s="519"/>
      <c r="T5" s="903">
        <f aca="true" t="shared" si="0" ref="T5:T20">14*D5</f>
        <v>28</v>
      </c>
      <c r="U5" s="903">
        <f aca="true" t="shared" si="1" ref="U5:U20">14*K5</f>
        <v>0</v>
      </c>
      <c r="V5" s="903">
        <f aca="true" t="shared" si="2" ref="V5:V20">14*(SUM(E5:G5))</f>
        <v>28</v>
      </c>
      <c r="W5" s="903">
        <f aca="true" t="shared" si="3" ref="W5:W20">14*(SUM(L5:N5))</f>
        <v>0</v>
      </c>
      <c r="X5" s="904">
        <f aca="true" t="shared" si="4" ref="X5:X20">SUM(T5:W5)</f>
        <v>56</v>
      </c>
      <c r="Y5" s="474"/>
      <c r="Z5" s="473"/>
      <c r="AA5" s="1"/>
      <c r="AB5" s="86" t="s">
        <v>112</v>
      </c>
      <c r="AC5" s="480">
        <f>SUMIF(C4:C106,"DD*",X4:X106)</f>
        <v>1190</v>
      </c>
      <c r="AD5" s="480">
        <f>SUMIF(C4:C106,"DD*",T4:T106)+SUMIF(C4:C106,"DD*",U4:U106)</f>
        <v>616</v>
      </c>
      <c r="AE5" s="480">
        <f>SUMIF(C4:C106,"DD*",V4:V106)+SUMIF(C4:C106,"DD*",W4:W106)</f>
        <v>574</v>
      </c>
      <c r="AF5" s="481">
        <f>AC5/AC8</f>
        <v>0.4009433962264151</v>
      </c>
      <c r="AG5" s="1" t="s">
        <v>84</v>
      </c>
      <c r="AH5" s="460"/>
      <c r="AI5" s="460"/>
      <c r="AJ5" s="460"/>
      <c r="AK5" s="460"/>
      <c r="AL5" s="459"/>
      <c r="AM5" s="459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3"/>
      <c r="AY5" s="473"/>
      <c r="BG5" s="1"/>
      <c r="BH5" s="1"/>
      <c r="BI5" s="1"/>
      <c r="BJ5" s="1"/>
      <c r="BK5" s="1"/>
    </row>
    <row r="6" spans="1:63" ht="9.75">
      <c r="A6" s="795">
        <v>3</v>
      </c>
      <c r="B6" s="482" t="s">
        <v>123</v>
      </c>
      <c r="C6" s="483" t="s">
        <v>397</v>
      </c>
      <c r="D6" s="484">
        <v>2</v>
      </c>
      <c r="E6" s="485"/>
      <c r="F6" s="485">
        <v>1</v>
      </c>
      <c r="G6" s="485"/>
      <c r="H6" s="485"/>
      <c r="I6" s="485" t="s">
        <v>81</v>
      </c>
      <c r="J6" s="796">
        <f>INT((3*D6+1.5*E6+1.5*F6+2*G6)*0.56)</f>
        <v>4</v>
      </c>
      <c r="K6" s="797"/>
      <c r="L6" s="798"/>
      <c r="M6" s="798"/>
      <c r="N6" s="798"/>
      <c r="O6" s="798"/>
      <c r="P6" s="798"/>
      <c r="Q6" s="796"/>
      <c r="R6" s="799" t="s">
        <v>398</v>
      </c>
      <c r="S6" s="514"/>
      <c r="T6" s="905">
        <f t="shared" si="0"/>
        <v>28</v>
      </c>
      <c r="U6" s="905">
        <f t="shared" si="1"/>
        <v>0</v>
      </c>
      <c r="V6" s="905">
        <f t="shared" si="2"/>
        <v>14</v>
      </c>
      <c r="W6" s="905">
        <f t="shared" si="3"/>
        <v>0</v>
      </c>
      <c r="X6" s="906">
        <f t="shared" si="4"/>
        <v>42</v>
      </c>
      <c r="Y6" s="474"/>
      <c r="Z6" s="473"/>
      <c r="AA6" s="1"/>
      <c r="AB6" s="475" t="s">
        <v>85</v>
      </c>
      <c r="AC6" s="476">
        <f>SUMIF(C4:C106,"DC*",X4:X106)</f>
        <v>196</v>
      </c>
      <c r="AD6" s="780">
        <f>SUMIF(C4:C106,"DC*",T4:T106)+SUMIF(C4:C106,"DC*",U4:U106)</f>
        <v>28</v>
      </c>
      <c r="AE6" s="476">
        <f>SUMIF(C4:C106,"DC*",V4:V106)+SUMIF(C4:C106,"DC*",W4:W106)</f>
        <v>168</v>
      </c>
      <c r="AF6" s="477">
        <f>AC6/AC8</f>
        <v>0.0660377358490566</v>
      </c>
      <c r="AG6" s="1" t="s">
        <v>86</v>
      </c>
      <c r="AH6" s="486"/>
      <c r="AI6" s="460"/>
      <c r="AJ6" s="460"/>
      <c r="AK6" s="460"/>
      <c r="AL6" s="459"/>
      <c r="AM6" s="459"/>
      <c r="AN6" s="473"/>
      <c r="AO6" s="473"/>
      <c r="AP6" s="473"/>
      <c r="AQ6" s="473"/>
      <c r="AR6" s="473"/>
      <c r="AS6" s="473"/>
      <c r="AT6" s="473"/>
      <c r="AU6" s="473"/>
      <c r="AV6" s="473"/>
      <c r="AW6" s="473"/>
      <c r="AX6" s="473"/>
      <c r="AY6" s="473"/>
      <c r="BG6" s="1"/>
      <c r="BH6" s="1"/>
      <c r="BI6" s="1"/>
      <c r="BJ6" s="1"/>
      <c r="BK6" s="1"/>
    </row>
    <row r="7" spans="1:63" ht="9.75">
      <c r="A7" s="786">
        <v>4</v>
      </c>
      <c r="B7" s="487" t="s">
        <v>87</v>
      </c>
      <c r="C7" s="479" t="s">
        <v>399</v>
      </c>
      <c r="D7" s="470">
        <v>2</v>
      </c>
      <c r="E7" s="471"/>
      <c r="F7" s="471">
        <v>1</v>
      </c>
      <c r="G7" s="471"/>
      <c r="H7" s="471"/>
      <c r="I7" s="471" t="s">
        <v>9</v>
      </c>
      <c r="J7" s="782">
        <v>3</v>
      </c>
      <c r="K7" s="789"/>
      <c r="L7" s="790"/>
      <c r="M7" s="790"/>
      <c r="N7" s="790"/>
      <c r="O7" s="790"/>
      <c r="P7" s="790"/>
      <c r="Q7" s="782"/>
      <c r="R7" s="785" t="s">
        <v>400</v>
      </c>
      <c r="S7" s="519"/>
      <c r="T7" s="903">
        <f t="shared" si="0"/>
        <v>28</v>
      </c>
      <c r="U7" s="903">
        <f t="shared" si="1"/>
        <v>0</v>
      </c>
      <c r="V7" s="903">
        <f t="shared" si="2"/>
        <v>14</v>
      </c>
      <c r="W7" s="903">
        <f t="shared" si="3"/>
        <v>0</v>
      </c>
      <c r="X7" s="904">
        <f t="shared" si="4"/>
        <v>42</v>
      </c>
      <c r="Y7" s="474"/>
      <c r="Z7" s="473"/>
      <c r="AA7" s="1"/>
      <c r="AB7" s="86" t="s">
        <v>88</v>
      </c>
      <c r="AC7" s="480">
        <f>SUMIF(C4:C106,"DS*",X4:X106)</f>
        <v>1022</v>
      </c>
      <c r="AD7" s="488">
        <f>SUMIF(C4:C106,"DS*",T4:T106)+SUMIF(C4:C106,"DS*",U4:U106)</f>
        <v>504</v>
      </c>
      <c r="AE7" s="488">
        <f>SUMIF(C4:C106,"DS*",V4:V106)+SUMIF(C4:C106,"DS*",W4:W106)</f>
        <v>462</v>
      </c>
      <c r="AF7" s="489">
        <f>AC7/AC8</f>
        <v>0.3443396226415094</v>
      </c>
      <c r="AG7" s="1" t="s">
        <v>89</v>
      </c>
      <c r="AH7" s="460"/>
      <c r="AI7" s="460"/>
      <c r="AJ7" s="460"/>
      <c r="AK7" s="490"/>
      <c r="AL7" s="459"/>
      <c r="AM7" s="459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BG7" s="1"/>
      <c r="BH7" s="1"/>
      <c r="BI7" s="1"/>
      <c r="BJ7" s="1"/>
      <c r="BK7" s="1"/>
    </row>
    <row r="8" spans="1:63" ht="9.75">
      <c r="A8" s="786">
        <v>5</v>
      </c>
      <c r="B8" s="487" t="s">
        <v>90</v>
      </c>
      <c r="C8" s="479" t="s">
        <v>401</v>
      </c>
      <c r="D8" s="470">
        <v>2</v>
      </c>
      <c r="E8" s="471"/>
      <c r="F8" s="471">
        <v>2</v>
      </c>
      <c r="G8" s="491"/>
      <c r="H8" s="471"/>
      <c r="I8" s="491" t="s">
        <v>81</v>
      </c>
      <c r="J8" s="782">
        <f>INT((3*D8+1.5*E8+1.5*F8+2*G8)*0.56)</f>
        <v>5</v>
      </c>
      <c r="K8" s="791"/>
      <c r="L8" s="792"/>
      <c r="M8" s="792"/>
      <c r="N8" s="792"/>
      <c r="O8" s="792"/>
      <c r="P8" s="792"/>
      <c r="Q8" s="782"/>
      <c r="R8" s="785" t="s">
        <v>402</v>
      </c>
      <c r="S8" s="519"/>
      <c r="T8" s="903">
        <f t="shared" si="0"/>
        <v>28</v>
      </c>
      <c r="U8" s="903">
        <f t="shared" si="1"/>
        <v>0</v>
      </c>
      <c r="V8" s="903">
        <f t="shared" si="2"/>
        <v>28</v>
      </c>
      <c r="W8" s="903">
        <f t="shared" si="3"/>
        <v>0</v>
      </c>
      <c r="X8" s="904">
        <f t="shared" si="4"/>
        <v>56</v>
      </c>
      <c r="Y8" s="474"/>
      <c r="Z8" s="473"/>
      <c r="AA8" s="1"/>
      <c r="AB8" s="492" t="s">
        <v>62</v>
      </c>
      <c r="AC8" s="493">
        <f>SUM(AC4:AC7)</f>
        <v>2968</v>
      </c>
      <c r="AD8" s="493">
        <f>SUM(AD4:AD7)</f>
        <v>1414</v>
      </c>
      <c r="AE8" s="493">
        <f>SUM(AE4:AE7)</f>
        <v>1498</v>
      </c>
      <c r="AF8" s="494">
        <f>SUM(AF4:AF7)</f>
        <v>1</v>
      </c>
      <c r="AG8" s="495"/>
      <c r="AH8" s="496"/>
      <c r="AI8" s="497"/>
      <c r="AJ8" s="460"/>
      <c r="AK8" s="460"/>
      <c r="AL8" s="459"/>
      <c r="AM8" s="459"/>
      <c r="AN8" s="473"/>
      <c r="AO8" s="473"/>
      <c r="AP8" s="473"/>
      <c r="AQ8" s="473"/>
      <c r="AR8" s="473"/>
      <c r="AS8" s="473"/>
      <c r="AT8" s="473"/>
      <c r="AU8" s="473"/>
      <c r="AV8" s="473"/>
      <c r="AW8" s="473"/>
      <c r="AX8" s="473"/>
      <c r="AY8" s="473"/>
      <c r="BG8" s="1"/>
      <c r="BH8" s="1"/>
      <c r="BI8" s="1"/>
      <c r="BJ8" s="1"/>
      <c r="BK8" s="1"/>
    </row>
    <row r="9" spans="1:63" ht="9.75">
      <c r="A9" s="786">
        <v>6</v>
      </c>
      <c r="B9" s="487" t="s">
        <v>91</v>
      </c>
      <c r="C9" s="479" t="s">
        <v>403</v>
      </c>
      <c r="D9" s="470">
        <v>1</v>
      </c>
      <c r="E9" s="471"/>
      <c r="F9" s="471">
        <v>2</v>
      </c>
      <c r="G9" s="498"/>
      <c r="H9" s="471"/>
      <c r="I9" s="498" t="s">
        <v>9</v>
      </c>
      <c r="J9" s="782">
        <f>INT((3*D9+1.5*E9+1.5*F9+2*G9)*0.56)</f>
        <v>3</v>
      </c>
      <c r="K9" s="787"/>
      <c r="L9" s="498"/>
      <c r="M9" s="498"/>
      <c r="N9" s="498"/>
      <c r="O9" s="498"/>
      <c r="P9" s="498"/>
      <c r="Q9" s="782"/>
      <c r="R9" s="785" t="s">
        <v>404</v>
      </c>
      <c r="S9" s="519"/>
      <c r="T9" s="903">
        <f t="shared" si="0"/>
        <v>14</v>
      </c>
      <c r="U9" s="903">
        <f t="shared" si="1"/>
        <v>0</v>
      </c>
      <c r="V9" s="903">
        <f t="shared" si="2"/>
        <v>28</v>
      </c>
      <c r="W9" s="903">
        <f t="shared" si="3"/>
        <v>0</v>
      </c>
      <c r="X9" s="904">
        <f t="shared" si="4"/>
        <v>42</v>
      </c>
      <c r="Y9" s="474"/>
      <c r="Z9" s="473"/>
      <c r="AA9" s="1"/>
      <c r="AB9" s="499"/>
      <c r="AC9" s="499"/>
      <c r="AD9" s="499"/>
      <c r="AE9" s="499"/>
      <c r="AF9" s="500"/>
      <c r="AG9" s="501"/>
      <c r="AH9" s="460"/>
      <c r="AI9" s="460"/>
      <c r="AJ9" s="460"/>
      <c r="AK9" s="460"/>
      <c r="AL9" s="459"/>
      <c r="AM9" s="459"/>
      <c r="AN9" s="473"/>
      <c r="AO9" s="473"/>
      <c r="AP9" s="473"/>
      <c r="AQ9" s="473"/>
      <c r="AR9" s="473"/>
      <c r="AS9" s="473"/>
      <c r="AT9" s="473"/>
      <c r="AU9" s="473"/>
      <c r="AV9" s="473"/>
      <c r="AW9" s="473"/>
      <c r="AX9" s="473"/>
      <c r="AY9" s="473"/>
      <c r="BG9" s="1"/>
      <c r="BH9" s="1"/>
      <c r="BI9" s="1"/>
      <c r="BJ9" s="1"/>
      <c r="BK9" s="1"/>
    </row>
    <row r="10" spans="1:64" ht="9.75">
      <c r="A10" s="807">
        <v>7</v>
      </c>
      <c r="B10" s="808" t="s">
        <v>130</v>
      </c>
      <c r="C10" s="809" t="s">
        <v>405</v>
      </c>
      <c r="D10" s="810">
        <v>2</v>
      </c>
      <c r="E10" s="811"/>
      <c r="F10" s="811"/>
      <c r="G10" s="812"/>
      <c r="H10" s="811"/>
      <c r="I10" s="812" t="s">
        <v>81</v>
      </c>
      <c r="J10" s="813">
        <v>2</v>
      </c>
      <c r="K10" s="814"/>
      <c r="L10" s="812"/>
      <c r="M10" s="812"/>
      <c r="N10" s="812"/>
      <c r="O10" s="812"/>
      <c r="P10" s="812"/>
      <c r="Q10" s="813"/>
      <c r="R10" s="815" t="s">
        <v>398</v>
      </c>
      <c r="S10" s="816"/>
      <c r="T10" s="907">
        <f t="shared" si="0"/>
        <v>28</v>
      </c>
      <c r="U10" s="907">
        <f t="shared" si="1"/>
        <v>0</v>
      </c>
      <c r="V10" s="907">
        <f t="shared" si="2"/>
        <v>0</v>
      </c>
      <c r="W10" s="907">
        <f t="shared" si="3"/>
        <v>0</v>
      </c>
      <c r="X10" s="908">
        <f t="shared" si="4"/>
        <v>28</v>
      </c>
      <c r="Y10" s="474"/>
      <c r="Z10" s="473"/>
      <c r="AA10" s="473"/>
      <c r="AB10" s="505"/>
      <c r="AC10" s="506"/>
      <c r="AD10" s="1287"/>
      <c r="AE10" s="1287"/>
      <c r="AH10" s="499"/>
      <c r="AI10" s="499"/>
      <c r="AJ10" s="499"/>
      <c r="AK10" s="499"/>
      <c r="AL10" s="500"/>
      <c r="AM10" s="501"/>
      <c r="AN10" s="460"/>
      <c r="AO10" s="460"/>
      <c r="AP10" s="460"/>
      <c r="AQ10" s="460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L10" s="459"/>
    </row>
    <row r="11" spans="1:64" ht="9.75">
      <c r="A11" s="807">
        <v>8</v>
      </c>
      <c r="B11" s="808" t="s">
        <v>92</v>
      </c>
      <c r="C11" s="817" t="s">
        <v>407</v>
      </c>
      <c r="D11" s="810"/>
      <c r="E11" s="811">
        <v>1</v>
      </c>
      <c r="F11" s="811"/>
      <c r="G11" s="812"/>
      <c r="H11" s="811"/>
      <c r="I11" s="812" t="s">
        <v>9</v>
      </c>
      <c r="J11" s="813">
        <v>1</v>
      </c>
      <c r="K11" s="814"/>
      <c r="L11" s="812"/>
      <c r="M11" s="812"/>
      <c r="N11" s="812"/>
      <c r="O11" s="812"/>
      <c r="P11" s="812"/>
      <c r="Q11" s="813"/>
      <c r="R11" s="815" t="s">
        <v>629</v>
      </c>
      <c r="S11" s="816"/>
      <c r="T11" s="907">
        <f t="shared" si="0"/>
        <v>0</v>
      </c>
      <c r="U11" s="907">
        <f t="shared" si="1"/>
        <v>0</v>
      </c>
      <c r="V11" s="907">
        <f t="shared" si="2"/>
        <v>14</v>
      </c>
      <c r="W11" s="907">
        <f t="shared" si="3"/>
        <v>0</v>
      </c>
      <c r="X11" s="908">
        <f t="shared" si="4"/>
        <v>14</v>
      </c>
      <c r="Y11" s="474"/>
      <c r="Z11" s="473"/>
      <c r="AA11" s="473"/>
      <c r="AB11" s="473"/>
      <c r="AC11" s="473"/>
      <c r="AD11" s="473"/>
      <c r="AE11" s="473"/>
      <c r="AH11" s="460"/>
      <c r="AI11" s="460"/>
      <c r="AJ11" s="460"/>
      <c r="AK11" s="460"/>
      <c r="AL11" s="507"/>
      <c r="AM11" s="508"/>
      <c r="AN11" s="460"/>
      <c r="AO11" s="497"/>
      <c r="AP11" s="460"/>
      <c r="AQ11" s="460"/>
      <c r="AT11" s="473"/>
      <c r="AU11" s="473"/>
      <c r="AV11" s="473"/>
      <c r="AW11" s="473"/>
      <c r="AX11" s="473"/>
      <c r="AY11" s="473"/>
      <c r="AZ11" s="473"/>
      <c r="BA11" s="473"/>
      <c r="BB11" s="473"/>
      <c r="BC11" s="473"/>
      <c r="BD11" s="473"/>
      <c r="BE11" s="473"/>
      <c r="BL11" s="459"/>
    </row>
    <row r="12" spans="1:64" ht="9.75">
      <c r="A12" s="807">
        <v>9</v>
      </c>
      <c r="B12" s="818" t="s">
        <v>266</v>
      </c>
      <c r="C12" s="817" t="s">
        <v>408</v>
      </c>
      <c r="D12" s="819"/>
      <c r="E12" s="820">
        <v>2</v>
      </c>
      <c r="F12" s="820"/>
      <c r="G12" s="812"/>
      <c r="H12" s="811"/>
      <c r="I12" s="812" t="s">
        <v>9</v>
      </c>
      <c r="J12" s="813">
        <v>2</v>
      </c>
      <c r="K12" s="814"/>
      <c r="L12" s="812"/>
      <c r="M12" s="812"/>
      <c r="N12" s="812"/>
      <c r="O12" s="812"/>
      <c r="P12" s="812"/>
      <c r="Q12" s="813"/>
      <c r="R12" s="821" t="s">
        <v>630</v>
      </c>
      <c r="S12" s="822"/>
      <c r="T12" s="907">
        <f t="shared" si="0"/>
        <v>0</v>
      </c>
      <c r="U12" s="907">
        <f t="shared" si="1"/>
        <v>0</v>
      </c>
      <c r="V12" s="907">
        <f t="shared" si="2"/>
        <v>28</v>
      </c>
      <c r="W12" s="907">
        <f t="shared" si="3"/>
        <v>0</v>
      </c>
      <c r="X12" s="908">
        <f t="shared" si="4"/>
        <v>28</v>
      </c>
      <c r="Y12" s="474"/>
      <c r="Z12" s="473"/>
      <c r="AA12" s="473"/>
      <c r="AB12" s="473"/>
      <c r="AC12" s="473">
        <f>SUM(AD12+AE12)</f>
        <v>560</v>
      </c>
      <c r="AD12" s="473">
        <f>SUM(T4+T5+T7+T8+T9+U15+U16+U18+T25+T31)</f>
        <v>266</v>
      </c>
      <c r="AE12" s="473">
        <f>SUM(V4+V5+V7+V8+V9+W15+W16+W18+V25+V31+W33)</f>
        <v>294</v>
      </c>
      <c r="AF12" s="1">
        <f>AC12/AC16</f>
        <v>0.17766497461928935</v>
      </c>
      <c r="AH12" s="460"/>
      <c r="AI12" s="460"/>
      <c r="AJ12" s="460"/>
      <c r="AK12" s="460"/>
      <c r="AL12" s="507"/>
      <c r="AM12" s="501"/>
      <c r="AN12" s="460"/>
      <c r="AO12" s="460"/>
      <c r="AP12" s="460"/>
      <c r="AQ12" s="460"/>
      <c r="AR12" s="509"/>
      <c r="AS12" s="509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L12" s="459"/>
    </row>
    <row r="13" spans="1:64" ht="9.75">
      <c r="A13" s="795">
        <v>10</v>
      </c>
      <c r="B13" s="482" t="s">
        <v>131</v>
      </c>
      <c r="C13" s="511" t="s">
        <v>410</v>
      </c>
      <c r="D13" s="484"/>
      <c r="E13" s="485"/>
      <c r="F13" s="485"/>
      <c r="G13" s="513"/>
      <c r="H13" s="513"/>
      <c r="I13" s="513"/>
      <c r="J13" s="796"/>
      <c r="K13" s="512">
        <v>2</v>
      </c>
      <c r="L13" s="485">
        <v>1</v>
      </c>
      <c r="M13" s="485">
        <v>1</v>
      </c>
      <c r="N13" s="513"/>
      <c r="O13" s="513"/>
      <c r="P13" s="513" t="s">
        <v>81</v>
      </c>
      <c r="Q13" s="796">
        <f>INT((3*K13+1.5*L13+1.5*M13+2*N13)*0.56)</f>
        <v>5</v>
      </c>
      <c r="R13" s="799" t="s">
        <v>411</v>
      </c>
      <c r="S13" s="514"/>
      <c r="T13" s="905">
        <f t="shared" si="0"/>
        <v>0</v>
      </c>
      <c r="U13" s="905">
        <f t="shared" si="1"/>
        <v>28</v>
      </c>
      <c r="V13" s="905">
        <f t="shared" si="2"/>
        <v>0</v>
      </c>
      <c r="W13" s="905">
        <f t="shared" si="3"/>
        <v>28</v>
      </c>
      <c r="X13" s="906">
        <f t="shared" si="4"/>
        <v>56</v>
      </c>
      <c r="Y13" s="473"/>
      <c r="AA13" s="515" t="s">
        <v>93</v>
      </c>
      <c r="AB13" s="515">
        <v>240</v>
      </c>
      <c r="AC13" s="473">
        <f>SUM(AD13+AE13)</f>
        <v>1280</v>
      </c>
      <c r="AD13" s="473">
        <f>SUM(T6+U13+U14+T26+T27+T28+T29+T30+U35+U36+U37+U38+T47+T49+T53+U54+U56+U57+U58+U60+T75+U39)</f>
        <v>616</v>
      </c>
      <c r="AE13" s="916">
        <f>SUM(V6+W13+W14+V26+V27+V28+V29+V30+W34+W35+W36+W37+W38+W39+V47+V48+V49+V53+W54+W55+W56+W57+W58+W60+V75)+90</f>
        <v>664</v>
      </c>
      <c r="AF13" s="1">
        <f>AC13/AC16</f>
        <v>0.40609137055837563</v>
      </c>
      <c r="AH13" s="460"/>
      <c r="AI13" s="460"/>
      <c r="AJ13" s="460"/>
      <c r="AK13" s="460"/>
      <c r="AL13" s="516"/>
      <c r="AM13" s="508"/>
      <c r="AN13" s="460"/>
      <c r="AO13" s="497"/>
      <c r="AP13" s="460"/>
      <c r="AQ13" s="460"/>
      <c r="AT13" s="473"/>
      <c r="AU13" s="473"/>
      <c r="AV13" s="473"/>
      <c r="AW13" s="473"/>
      <c r="AX13" s="473"/>
      <c r="AY13" s="473"/>
      <c r="AZ13" s="473"/>
      <c r="BA13" s="473"/>
      <c r="BB13" s="473"/>
      <c r="BC13" s="473"/>
      <c r="BD13" s="473"/>
      <c r="BE13" s="473"/>
      <c r="BL13" s="459"/>
    </row>
    <row r="14" spans="1:64" ht="9.75">
      <c r="A14" s="795">
        <v>11</v>
      </c>
      <c r="B14" s="482" t="s">
        <v>124</v>
      </c>
      <c r="C14" s="483" t="s">
        <v>412</v>
      </c>
      <c r="D14" s="484"/>
      <c r="E14" s="485"/>
      <c r="F14" s="485"/>
      <c r="G14" s="513"/>
      <c r="H14" s="513"/>
      <c r="I14" s="513"/>
      <c r="J14" s="800"/>
      <c r="K14" s="484">
        <v>2</v>
      </c>
      <c r="L14" s="485"/>
      <c r="M14" s="485">
        <v>2</v>
      </c>
      <c r="N14" s="513"/>
      <c r="O14" s="513"/>
      <c r="P14" s="513" t="s">
        <v>81</v>
      </c>
      <c r="Q14" s="796">
        <f>INT((3*K14+1.5*L14+1.5*M14+2*N14)*0.56)</f>
        <v>5</v>
      </c>
      <c r="R14" s="799" t="s">
        <v>398</v>
      </c>
      <c r="S14" s="514"/>
      <c r="T14" s="905">
        <f t="shared" si="0"/>
        <v>0</v>
      </c>
      <c r="U14" s="905">
        <f t="shared" si="1"/>
        <v>28</v>
      </c>
      <c r="V14" s="905">
        <f t="shared" si="2"/>
        <v>0</v>
      </c>
      <c r="W14" s="905">
        <f t="shared" si="3"/>
        <v>28</v>
      </c>
      <c r="X14" s="906">
        <f t="shared" si="4"/>
        <v>56</v>
      </c>
      <c r="Y14" s="473"/>
      <c r="AA14" s="473"/>
      <c r="AB14" s="473"/>
      <c r="AC14" s="473">
        <f>SUM(AD14+AE14)</f>
        <v>196</v>
      </c>
      <c r="AD14" s="473">
        <f>SUM(T10)</f>
        <v>28</v>
      </c>
      <c r="AE14" s="473">
        <f>SUM(V11+V12+W17+W19+W20+V32+W40+W61)</f>
        <v>168</v>
      </c>
      <c r="AF14" s="1">
        <f>AC14/AC16</f>
        <v>0.06218274111675127</v>
      </c>
      <c r="AH14" s="460"/>
      <c r="AI14" s="460"/>
      <c r="AJ14" s="460"/>
      <c r="AK14" s="460"/>
      <c r="AL14" s="516"/>
      <c r="AM14" s="508"/>
      <c r="AN14" s="460"/>
      <c r="AO14" s="497"/>
      <c r="AP14" s="460"/>
      <c r="AQ14" s="460"/>
      <c r="AT14" s="473"/>
      <c r="AU14" s="473"/>
      <c r="AV14" s="473"/>
      <c r="AW14" s="473"/>
      <c r="AX14" s="473"/>
      <c r="AY14" s="473"/>
      <c r="AZ14" s="473"/>
      <c r="BA14" s="473"/>
      <c r="BB14" s="473"/>
      <c r="BC14" s="473"/>
      <c r="BD14" s="473"/>
      <c r="BE14" s="473"/>
      <c r="BL14" s="459"/>
    </row>
    <row r="15" spans="1:64" ht="9.75">
      <c r="A15" s="786">
        <v>13</v>
      </c>
      <c r="B15" s="487" t="s">
        <v>94</v>
      </c>
      <c r="C15" s="517" t="s">
        <v>413</v>
      </c>
      <c r="D15" s="470"/>
      <c r="E15" s="471"/>
      <c r="F15" s="471"/>
      <c r="G15" s="518"/>
      <c r="H15" s="518"/>
      <c r="I15" s="518"/>
      <c r="J15" s="793"/>
      <c r="K15" s="470">
        <v>2</v>
      </c>
      <c r="L15" s="471"/>
      <c r="M15" s="471">
        <v>2</v>
      </c>
      <c r="N15" s="518"/>
      <c r="O15" s="518"/>
      <c r="P15" s="518" t="s">
        <v>81</v>
      </c>
      <c r="Q15" s="782">
        <f>INT((3*K15+1.5*L15+1.5*M15+2*N15)*0.56)</f>
        <v>5</v>
      </c>
      <c r="R15" s="785" t="s">
        <v>400</v>
      </c>
      <c r="S15" s="519"/>
      <c r="T15" s="903">
        <f t="shared" si="0"/>
        <v>0</v>
      </c>
      <c r="U15" s="903">
        <f t="shared" si="1"/>
        <v>28</v>
      </c>
      <c r="V15" s="903">
        <f t="shared" si="2"/>
        <v>0</v>
      </c>
      <c r="W15" s="903">
        <f t="shared" si="3"/>
        <v>28</v>
      </c>
      <c r="X15" s="904">
        <f t="shared" si="4"/>
        <v>56</v>
      </c>
      <c r="Y15" s="474"/>
      <c r="Z15" s="473"/>
      <c r="AA15" s="473"/>
      <c r="AB15" s="473">
        <f>SUM(AB13:AB14)</f>
        <v>240</v>
      </c>
      <c r="AC15" s="473">
        <f>SUM(AD15+AE15)</f>
        <v>1116</v>
      </c>
      <c r="AD15" s="473">
        <f>SUM(T50+T51+T52+T70+U59+T71+T72+T74+U76+U77+U79+T89+U91+T97+T99+U101+U103+U105)</f>
        <v>504</v>
      </c>
      <c r="AE15" s="473">
        <f>SUM(V50+V51+V52+W59+V70+V71+V72+V73+V74+W76+W77+W78+W79+W81+V89+W91+V97+V99+W101+W103+W105)+90+60</f>
        <v>612</v>
      </c>
      <c r="AF15" s="1">
        <f>AC15/AC16</f>
        <v>0.35406091370558374</v>
      </c>
      <c r="AH15" s="460"/>
      <c r="AI15" s="460"/>
      <c r="AJ15" s="460"/>
      <c r="AK15" s="460"/>
      <c r="AL15" s="507"/>
      <c r="AM15" s="520"/>
      <c r="AN15" s="460"/>
      <c r="AO15" s="497"/>
      <c r="AP15" s="460"/>
      <c r="AQ15" s="460"/>
      <c r="AR15" s="521"/>
      <c r="AS15" s="521"/>
      <c r="AT15" s="522"/>
      <c r="AU15" s="522"/>
      <c r="AV15" s="522"/>
      <c r="AW15" s="522"/>
      <c r="AX15" s="522"/>
      <c r="AY15" s="522"/>
      <c r="AZ15" s="522"/>
      <c r="BA15" s="522"/>
      <c r="BB15" s="522"/>
      <c r="BC15" s="522"/>
      <c r="BD15" s="522"/>
      <c r="BE15" s="522"/>
      <c r="BL15" s="459"/>
    </row>
    <row r="16" spans="1:64" ht="9.75">
      <c r="A16" s="786">
        <v>14</v>
      </c>
      <c r="B16" s="487" t="s">
        <v>95</v>
      </c>
      <c r="C16" s="523" t="s">
        <v>414</v>
      </c>
      <c r="D16" s="470"/>
      <c r="E16" s="471"/>
      <c r="F16" s="471"/>
      <c r="G16" s="518"/>
      <c r="H16" s="518"/>
      <c r="I16" s="518"/>
      <c r="J16" s="793"/>
      <c r="K16" s="470">
        <v>2</v>
      </c>
      <c r="L16" s="471"/>
      <c r="M16" s="471">
        <v>2</v>
      </c>
      <c r="N16" s="518"/>
      <c r="O16" s="518"/>
      <c r="P16" s="518" t="s">
        <v>81</v>
      </c>
      <c r="Q16" s="782">
        <f>INT((3*K16+1.5*L16+1.5*M16+2*N16)*0.56)</f>
        <v>5</v>
      </c>
      <c r="R16" s="785" t="s">
        <v>415</v>
      </c>
      <c r="S16" s="519"/>
      <c r="T16" s="903">
        <f t="shared" si="0"/>
        <v>0</v>
      </c>
      <c r="U16" s="903">
        <f t="shared" si="1"/>
        <v>28</v>
      </c>
      <c r="V16" s="903">
        <f t="shared" si="2"/>
        <v>0</v>
      </c>
      <c r="W16" s="903">
        <f t="shared" si="3"/>
        <v>28</v>
      </c>
      <c r="X16" s="904">
        <f t="shared" si="4"/>
        <v>56</v>
      </c>
      <c r="Y16" s="1274"/>
      <c r="Z16" s="1274"/>
      <c r="AA16" s="525"/>
      <c r="AB16" s="525"/>
      <c r="AC16" s="525">
        <f>SUM(AC12:AC15)</f>
        <v>3152</v>
      </c>
      <c r="AD16" s="525">
        <f>SUM(AD12:AD15)</f>
        <v>1414</v>
      </c>
      <c r="AE16" s="1274" t="s">
        <v>416</v>
      </c>
      <c r="AF16" s="1288"/>
      <c r="AG16" s="1289" t="s">
        <v>417</v>
      </c>
      <c r="AH16" s="1290"/>
      <c r="AI16" s="1290"/>
      <c r="AJ16" s="1290"/>
      <c r="AK16" s="1291"/>
      <c r="AL16" s="516"/>
      <c r="AM16" s="501"/>
      <c r="AN16" s="460"/>
      <c r="AO16" s="460"/>
      <c r="AP16" s="460"/>
      <c r="AQ16" s="460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L16" s="459"/>
    </row>
    <row r="17" spans="1:64" ht="9.75">
      <c r="A17" s="807">
        <v>15</v>
      </c>
      <c r="B17" s="808" t="s">
        <v>96</v>
      </c>
      <c r="C17" s="809" t="s">
        <v>418</v>
      </c>
      <c r="D17" s="810"/>
      <c r="E17" s="811"/>
      <c r="F17" s="811"/>
      <c r="G17" s="823"/>
      <c r="H17" s="823"/>
      <c r="I17" s="823"/>
      <c r="J17" s="824"/>
      <c r="K17" s="810"/>
      <c r="L17" s="811">
        <v>2</v>
      </c>
      <c r="M17" s="811"/>
      <c r="N17" s="823"/>
      <c r="O17" s="823"/>
      <c r="P17" s="823" t="s">
        <v>9</v>
      </c>
      <c r="Q17" s="813">
        <v>2</v>
      </c>
      <c r="R17" s="815" t="s">
        <v>409</v>
      </c>
      <c r="S17" s="816"/>
      <c r="T17" s="907">
        <f t="shared" si="0"/>
        <v>0</v>
      </c>
      <c r="U17" s="907">
        <f t="shared" si="1"/>
        <v>0</v>
      </c>
      <c r="V17" s="907">
        <f t="shared" si="2"/>
        <v>0</v>
      </c>
      <c r="W17" s="907">
        <f t="shared" si="3"/>
        <v>28</v>
      </c>
      <c r="X17" s="908">
        <f t="shared" si="4"/>
        <v>28</v>
      </c>
      <c r="Y17" s="474"/>
      <c r="Z17" s="473"/>
      <c r="AA17" s="525"/>
      <c r="AB17" s="525"/>
      <c r="AC17" s="525"/>
      <c r="AD17" s="525"/>
      <c r="AE17" s="525">
        <f>SUM(AE12:AE15)</f>
        <v>1738</v>
      </c>
      <c r="AG17" s="1282" t="s">
        <v>419</v>
      </c>
      <c r="AH17" s="1283"/>
      <c r="AI17" s="1283"/>
      <c r="AJ17" s="1283"/>
      <c r="AK17" s="1284"/>
      <c r="AL17" s="516"/>
      <c r="AM17" s="460"/>
      <c r="AN17" s="460"/>
      <c r="AO17" s="460"/>
      <c r="AP17" s="460"/>
      <c r="AQ17" s="460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L17" s="459"/>
    </row>
    <row r="18" spans="1:64" ht="9.75">
      <c r="A18" s="786">
        <v>16</v>
      </c>
      <c r="B18" s="487" t="s">
        <v>132</v>
      </c>
      <c r="C18" s="523" t="s">
        <v>420</v>
      </c>
      <c r="D18" s="470"/>
      <c r="E18" s="471"/>
      <c r="F18" s="471"/>
      <c r="G18" s="518"/>
      <c r="H18" s="518"/>
      <c r="I18" s="518"/>
      <c r="J18" s="793"/>
      <c r="K18" s="470">
        <v>2</v>
      </c>
      <c r="L18" s="471"/>
      <c r="M18" s="471">
        <v>3</v>
      </c>
      <c r="N18" s="518"/>
      <c r="O18" s="518"/>
      <c r="P18" s="518" t="s">
        <v>9</v>
      </c>
      <c r="Q18" s="782">
        <f>INT((3*K18+1.5*L18+1.5*M18+2*N18)*0.56)</f>
        <v>5</v>
      </c>
      <c r="R18" s="785" t="s">
        <v>421</v>
      </c>
      <c r="S18" s="519"/>
      <c r="T18" s="903">
        <f t="shared" si="0"/>
        <v>0</v>
      </c>
      <c r="U18" s="903">
        <f t="shared" si="1"/>
        <v>28</v>
      </c>
      <c r="V18" s="903">
        <f t="shared" si="2"/>
        <v>0</v>
      </c>
      <c r="W18" s="903">
        <f t="shared" si="3"/>
        <v>42</v>
      </c>
      <c r="X18" s="904">
        <f t="shared" si="4"/>
        <v>70</v>
      </c>
      <c r="Y18" s="474"/>
      <c r="Z18" s="473"/>
      <c r="AA18" s="473"/>
      <c r="AB18" s="473">
        <f>X21+X42+X63+X83+X93+X107</f>
        <v>2968</v>
      </c>
      <c r="AC18" s="473"/>
      <c r="AD18" s="473"/>
      <c r="AE18" s="473"/>
      <c r="AH18" s="499"/>
      <c r="AI18" s="460"/>
      <c r="AJ18" s="460"/>
      <c r="AK18" s="460"/>
      <c r="AL18" s="460"/>
      <c r="AM18" s="460"/>
      <c r="AN18" s="460"/>
      <c r="AO18" s="460"/>
      <c r="AP18" s="460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L18" s="459"/>
    </row>
    <row r="19" spans="1:64" ht="9.75">
      <c r="A19" s="807">
        <v>17</v>
      </c>
      <c r="B19" s="808" t="s">
        <v>97</v>
      </c>
      <c r="C19" s="809" t="s">
        <v>422</v>
      </c>
      <c r="D19" s="810"/>
      <c r="E19" s="811"/>
      <c r="F19" s="811"/>
      <c r="G19" s="823"/>
      <c r="H19" s="823"/>
      <c r="I19" s="823"/>
      <c r="J19" s="824"/>
      <c r="K19" s="810"/>
      <c r="L19" s="811">
        <v>1</v>
      </c>
      <c r="M19" s="811"/>
      <c r="N19" s="823"/>
      <c r="O19" s="823"/>
      <c r="P19" s="812" t="s">
        <v>9</v>
      </c>
      <c r="Q19" s="813">
        <v>1</v>
      </c>
      <c r="R19" s="815" t="s">
        <v>629</v>
      </c>
      <c r="S19" s="816"/>
      <c r="T19" s="907">
        <f t="shared" si="0"/>
        <v>0</v>
      </c>
      <c r="U19" s="907">
        <f t="shared" si="1"/>
        <v>0</v>
      </c>
      <c r="V19" s="907">
        <f t="shared" si="2"/>
        <v>0</v>
      </c>
      <c r="W19" s="907">
        <f t="shared" si="3"/>
        <v>14</v>
      </c>
      <c r="X19" s="908">
        <f t="shared" si="4"/>
        <v>14</v>
      </c>
      <c r="Y19" s="474"/>
      <c r="Z19" s="473"/>
      <c r="AA19" s="526"/>
      <c r="AB19" s="526"/>
      <c r="AC19" s="526"/>
      <c r="AD19" s="526"/>
      <c r="AE19" s="526"/>
      <c r="AH19" s="460"/>
      <c r="AI19" s="460"/>
      <c r="AJ19" s="460"/>
      <c r="AK19" s="460"/>
      <c r="AL19" s="460"/>
      <c r="AM19" s="460"/>
      <c r="AN19" s="460"/>
      <c r="AO19" s="460"/>
      <c r="AP19" s="460"/>
      <c r="AT19" s="473"/>
      <c r="AU19" s="473"/>
      <c r="AV19" s="473"/>
      <c r="AW19" s="473"/>
      <c r="AX19" s="473"/>
      <c r="AY19" s="473"/>
      <c r="AZ19" s="473"/>
      <c r="BA19" s="473"/>
      <c r="BB19" s="473"/>
      <c r="BC19" s="473"/>
      <c r="BD19" s="473"/>
      <c r="BE19" s="473"/>
      <c r="BL19" s="459"/>
    </row>
    <row r="20" spans="1:64" ht="11.25" customHeight="1" thickBot="1">
      <c r="A20" s="825">
        <v>18</v>
      </c>
      <c r="B20" s="826" t="s">
        <v>302</v>
      </c>
      <c r="C20" s="827" t="s">
        <v>423</v>
      </c>
      <c r="D20" s="828"/>
      <c r="E20" s="829"/>
      <c r="F20" s="829"/>
      <c r="G20" s="830"/>
      <c r="H20" s="830"/>
      <c r="I20" s="830"/>
      <c r="J20" s="825"/>
      <c r="K20" s="828"/>
      <c r="L20" s="829">
        <v>2</v>
      </c>
      <c r="M20" s="829"/>
      <c r="N20" s="830"/>
      <c r="O20" s="830"/>
      <c r="P20" s="830" t="s">
        <v>9</v>
      </c>
      <c r="Q20" s="825">
        <v>2</v>
      </c>
      <c r="R20" s="821" t="s">
        <v>630</v>
      </c>
      <c r="S20" s="822"/>
      <c r="T20" s="907">
        <f t="shared" si="0"/>
        <v>0</v>
      </c>
      <c r="U20" s="907">
        <f t="shared" si="1"/>
        <v>0</v>
      </c>
      <c r="V20" s="907">
        <f t="shared" si="2"/>
        <v>0</v>
      </c>
      <c r="W20" s="907">
        <f t="shared" si="3"/>
        <v>28</v>
      </c>
      <c r="X20" s="908">
        <f t="shared" si="4"/>
        <v>28</v>
      </c>
      <c r="Y20" s="474"/>
      <c r="Z20" s="473"/>
      <c r="AK20" s="527"/>
      <c r="AO20" s="460"/>
      <c r="AP20" s="460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L20" s="459"/>
    </row>
    <row r="21" spans="4:56" ht="9.75">
      <c r="D21" s="528">
        <f>SUM(D4:D20)</f>
        <v>13</v>
      </c>
      <c r="E21" s="528">
        <f>SUM(E4:E20)</f>
        <v>7</v>
      </c>
      <c r="F21" s="528">
        <f>SUM(F4:F20)</f>
        <v>6</v>
      </c>
      <c r="G21" s="528">
        <f>SUM(G4:G20)</f>
        <v>0</v>
      </c>
      <c r="H21" s="529">
        <f>SUM(H4:H20)</f>
        <v>0</v>
      </c>
      <c r="I21" s="529"/>
      <c r="J21" s="530">
        <f aca="true" t="shared" si="5" ref="J21:O21">SUM(J4:J20)</f>
        <v>30</v>
      </c>
      <c r="K21" s="531">
        <f t="shared" si="5"/>
        <v>10</v>
      </c>
      <c r="L21" s="528">
        <f t="shared" si="5"/>
        <v>6</v>
      </c>
      <c r="M21" s="528">
        <f t="shared" si="5"/>
        <v>10</v>
      </c>
      <c r="N21" s="528">
        <f t="shared" si="5"/>
        <v>0</v>
      </c>
      <c r="O21" s="529">
        <f t="shared" si="5"/>
        <v>0</v>
      </c>
      <c r="P21" s="529"/>
      <c r="Q21" s="532">
        <f>SUM(Q4:Q20)</f>
        <v>30</v>
      </c>
      <c r="R21" s="533"/>
      <c r="T21" s="915">
        <f>SUM(T4:T20)</f>
        <v>182</v>
      </c>
      <c r="U21" s="915">
        <f>SUM(U4:U20)</f>
        <v>140</v>
      </c>
      <c r="V21" s="915">
        <f>SUM(V4:V20)</f>
        <v>182</v>
      </c>
      <c r="W21" s="915">
        <f>SUM(W4:W20)</f>
        <v>224</v>
      </c>
      <c r="X21" s="915">
        <f>SUM(X4:X20)</f>
        <v>728</v>
      </c>
      <c r="Y21" s="524"/>
      <c r="Z21" s="473"/>
      <c r="AB21" s="459">
        <v>770</v>
      </c>
      <c r="AE21" s="1"/>
      <c r="AH21" s="534"/>
      <c r="AI21" s="534" t="s">
        <v>390</v>
      </c>
      <c r="AN21" s="460"/>
      <c r="AO21" s="460"/>
      <c r="AP21" s="459"/>
      <c r="AQ21" s="509"/>
      <c r="AR21" s="509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</row>
    <row r="22" spans="4:42" ht="9.75">
      <c r="D22" s="535">
        <f>SUM(D21:G21)</f>
        <v>26</v>
      </c>
      <c r="G22" s="459"/>
      <c r="I22" s="536">
        <f>COUNTIF(I4:I20,"E")</f>
        <v>5</v>
      </c>
      <c r="J22" s="537" t="s">
        <v>81</v>
      </c>
      <c r="K22" s="538">
        <f>SUM(K21:N21)</f>
        <v>26</v>
      </c>
      <c r="L22" s="459"/>
      <c r="M22" s="459"/>
      <c r="N22" s="459"/>
      <c r="P22" s="539">
        <f>COUNTIF(P4:P20,"E")</f>
        <v>4</v>
      </c>
      <c r="Q22" s="537" t="s">
        <v>81</v>
      </c>
      <c r="T22" s="916"/>
      <c r="U22" s="916"/>
      <c r="V22" s="916"/>
      <c r="W22" s="916"/>
      <c r="X22" s="917"/>
      <c r="AB22" s="459">
        <v>742</v>
      </c>
      <c r="AE22" s="1"/>
      <c r="AH22" s="540" t="s">
        <v>424</v>
      </c>
      <c r="AI22" s="540" t="s">
        <v>59</v>
      </c>
      <c r="AJ22" s="541" t="s">
        <v>406</v>
      </c>
      <c r="AN22" s="460"/>
      <c r="AO22" s="460"/>
      <c r="AP22" s="459"/>
    </row>
    <row r="23" spans="3:42" ht="9.75">
      <c r="C23" s="459"/>
      <c r="D23" s="459"/>
      <c r="E23" s="459"/>
      <c r="F23" s="459"/>
      <c r="G23" s="459"/>
      <c r="H23" s="542"/>
      <c r="I23" s="543">
        <f>COUNTIF(I4:I20,"C")</f>
        <v>4</v>
      </c>
      <c r="J23" s="537" t="s">
        <v>9</v>
      </c>
      <c r="K23" s="544"/>
      <c r="L23" s="459"/>
      <c r="M23" s="459"/>
      <c r="N23" s="459"/>
      <c r="P23" s="545">
        <f>COUNTIF(P4:P20,"C")</f>
        <v>4</v>
      </c>
      <c r="Q23" s="537" t="s">
        <v>9</v>
      </c>
      <c r="T23" s="918"/>
      <c r="U23" s="918"/>
      <c r="V23" s="918"/>
      <c r="W23" s="918"/>
      <c r="X23" s="918"/>
      <c r="Z23" s="524"/>
      <c r="AB23" s="459">
        <v>658</v>
      </c>
      <c r="AE23" s="73" t="s">
        <v>34</v>
      </c>
      <c r="AF23" s="73"/>
      <c r="AG23" s="543" t="s">
        <v>425</v>
      </c>
      <c r="AH23" s="546">
        <f>X21+X42+X63+X84</f>
        <v>2562</v>
      </c>
      <c r="AI23" s="547">
        <f>AH23/AC8</f>
        <v>0.8632075471698113</v>
      </c>
      <c r="AJ23" s="548" t="e">
        <f>AG27/AC10</f>
        <v>#DIV/0!</v>
      </c>
      <c r="AK23" s="549" t="s">
        <v>426</v>
      </c>
      <c r="AN23" s="460"/>
      <c r="AO23" s="460"/>
      <c r="AP23" s="459"/>
    </row>
    <row r="24" spans="1:42" ht="10.5" thickBot="1">
      <c r="A24" s="550"/>
      <c r="B24" s="551" t="s">
        <v>98</v>
      </c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AB24" s="459">
        <v>490</v>
      </c>
      <c r="AE24" s="1"/>
      <c r="AF24" s="73"/>
      <c r="AG24" s="552" t="s">
        <v>427</v>
      </c>
      <c r="AH24" s="552">
        <f>X93+X107</f>
        <v>350</v>
      </c>
      <c r="AI24" s="553">
        <f>(AH24)/AC8</f>
        <v>0.1179245283018868</v>
      </c>
      <c r="AJ24" s="554" t="e">
        <f>AH24/AC10</f>
        <v>#DIV/0!</v>
      </c>
      <c r="AK24" s="555" t="s">
        <v>428</v>
      </c>
      <c r="AL24" s="555"/>
      <c r="AM24" s="555"/>
      <c r="AN24" s="460"/>
      <c r="AO24" s="460"/>
      <c r="AP24" s="459"/>
    </row>
    <row r="25" spans="1:42" ht="9.75">
      <c r="A25" s="794">
        <v>1</v>
      </c>
      <c r="B25" s="468" t="s">
        <v>99</v>
      </c>
      <c r="C25" s="469" t="s">
        <v>429</v>
      </c>
      <c r="D25" s="556">
        <v>2</v>
      </c>
      <c r="E25" s="557">
        <v>1</v>
      </c>
      <c r="F25" s="557"/>
      <c r="G25" s="557"/>
      <c r="H25" s="557"/>
      <c r="I25" s="559" t="s">
        <v>81</v>
      </c>
      <c r="J25" s="560">
        <f>INT((3*D25+1.5*E25+1.5*F25+2*G25)*0.56)</f>
        <v>4</v>
      </c>
      <c r="K25" s="556"/>
      <c r="L25" s="557"/>
      <c r="M25" s="557"/>
      <c r="N25" s="557"/>
      <c r="O25" s="557"/>
      <c r="P25" s="557"/>
      <c r="Q25" s="560"/>
      <c r="R25" s="519" t="s">
        <v>395</v>
      </c>
      <c r="S25" s="519"/>
      <c r="T25" s="903">
        <f>14*D25</f>
        <v>28</v>
      </c>
      <c r="U25" s="903">
        <f>14*K25</f>
        <v>0</v>
      </c>
      <c r="V25" s="903">
        <f>14*(SUM(E25:G25))</f>
        <v>14</v>
      </c>
      <c r="W25" s="903">
        <f>14*(SUM(L25:N25))</f>
        <v>0</v>
      </c>
      <c r="X25" s="904">
        <f>SUM(T25:W25)</f>
        <v>42</v>
      </c>
      <c r="Y25" s="474"/>
      <c r="AE25" s="1"/>
      <c r="AP25" s="459"/>
    </row>
    <row r="26" spans="1:42" ht="9.75">
      <c r="A26" s="565">
        <v>2</v>
      </c>
      <c r="B26" s="482" t="s">
        <v>129</v>
      </c>
      <c r="C26" s="511" t="s">
        <v>430</v>
      </c>
      <c r="D26" s="484">
        <v>2</v>
      </c>
      <c r="E26" s="485">
        <v>1</v>
      </c>
      <c r="F26" s="485">
        <v>1</v>
      </c>
      <c r="G26" s="485"/>
      <c r="H26" s="485"/>
      <c r="I26" s="563" t="s">
        <v>81</v>
      </c>
      <c r="J26" s="565">
        <v>4</v>
      </c>
      <c r="K26" s="484"/>
      <c r="L26" s="485"/>
      <c r="M26" s="485"/>
      <c r="N26" s="485"/>
      <c r="O26" s="485"/>
      <c r="P26" s="485"/>
      <c r="Q26" s="565"/>
      <c r="R26" s="514" t="s">
        <v>411</v>
      </c>
      <c r="S26" s="514"/>
      <c r="T26" s="905">
        <f aca="true" t="shared" si="6" ref="T26:T41">14*D26</f>
        <v>28</v>
      </c>
      <c r="U26" s="905">
        <f aca="true" t="shared" si="7" ref="U26:U41">14*K26</f>
        <v>0</v>
      </c>
      <c r="V26" s="905">
        <f aca="true" t="shared" si="8" ref="V26:V41">14*(SUM(E26:G26))</f>
        <v>28</v>
      </c>
      <c r="W26" s="905">
        <f aca="true" t="shared" si="9" ref="W26:W41">14*(SUM(L26:N26))</f>
        <v>0</v>
      </c>
      <c r="X26" s="906">
        <f aca="true" t="shared" si="10" ref="X26:X40">SUM(T26:W26)</f>
        <v>56</v>
      </c>
      <c r="Y26" s="474"/>
      <c r="AE26" s="1"/>
      <c r="AP26" s="459"/>
    </row>
    <row r="27" spans="1:64" ht="9.75">
      <c r="A27" s="565">
        <v>3</v>
      </c>
      <c r="B27" s="482" t="s">
        <v>100</v>
      </c>
      <c r="C27" s="483" t="s">
        <v>431</v>
      </c>
      <c r="D27" s="484">
        <v>2</v>
      </c>
      <c r="E27" s="485">
        <v>2</v>
      </c>
      <c r="F27" s="485"/>
      <c r="G27" s="485"/>
      <c r="H27" s="485"/>
      <c r="I27" s="563" t="s">
        <v>81</v>
      </c>
      <c r="J27" s="565">
        <v>4</v>
      </c>
      <c r="K27" s="484"/>
      <c r="L27" s="485"/>
      <c r="M27" s="485"/>
      <c r="N27" s="485"/>
      <c r="O27" s="485"/>
      <c r="P27" s="485"/>
      <c r="Q27" s="565"/>
      <c r="R27" s="514" t="s">
        <v>432</v>
      </c>
      <c r="S27" s="514"/>
      <c r="T27" s="905">
        <f t="shared" si="6"/>
        <v>28</v>
      </c>
      <c r="U27" s="905">
        <f t="shared" si="7"/>
        <v>0</v>
      </c>
      <c r="V27" s="905">
        <f t="shared" si="8"/>
        <v>28</v>
      </c>
      <c r="W27" s="905">
        <f t="shared" si="9"/>
        <v>0</v>
      </c>
      <c r="X27" s="906">
        <f t="shared" si="10"/>
        <v>56</v>
      </c>
      <c r="Y27" s="474"/>
      <c r="AB27" s="459">
        <v>112</v>
      </c>
      <c r="AE27" s="1"/>
      <c r="AG27" s="566">
        <f>AH23+AB13</f>
        <v>2802</v>
      </c>
      <c r="AH27" s="1" t="s">
        <v>433</v>
      </c>
      <c r="AI27" s="73"/>
      <c r="AS27" s="567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L27" s="459"/>
    </row>
    <row r="28" spans="1:65" ht="9.75">
      <c r="A28" s="565">
        <v>4</v>
      </c>
      <c r="B28" s="482" t="s">
        <v>113</v>
      </c>
      <c r="C28" s="483" t="s">
        <v>434</v>
      </c>
      <c r="D28" s="484">
        <v>2</v>
      </c>
      <c r="E28" s="485">
        <v>1</v>
      </c>
      <c r="F28" s="568">
        <v>1</v>
      </c>
      <c r="G28" s="485"/>
      <c r="H28" s="485"/>
      <c r="I28" s="563" t="s">
        <v>81</v>
      </c>
      <c r="J28" s="565">
        <f>INT((3*D28+1.5*E28+1.5*F28+2*G28)*0.56)</f>
        <v>5</v>
      </c>
      <c r="K28" s="484"/>
      <c r="L28" s="485"/>
      <c r="M28" s="485"/>
      <c r="N28" s="485"/>
      <c r="O28" s="485"/>
      <c r="P28" s="485"/>
      <c r="Q28" s="565"/>
      <c r="R28" s="514" t="s">
        <v>435</v>
      </c>
      <c r="S28" s="514"/>
      <c r="T28" s="905">
        <f t="shared" si="6"/>
        <v>28</v>
      </c>
      <c r="U28" s="905">
        <f t="shared" si="7"/>
        <v>0</v>
      </c>
      <c r="V28" s="905">
        <f t="shared" si="8"/>
        <v>28</v>
      </c>
      <c r="W28" s="905">
        <f t="shared" si="9"/>
        <v>0</v>
      </c>
      <c r="X28" s="906">
        <f t="shared" si="10"/>
        <v>56</v>
      </c>
      <c r="Y28" s="474"/>
      <c r="AB28" s="459">
        <v>266</v>
      </c>
      <c r="AH28" s="566"/>
      <c r="AQ28" s="1"/>
      <c r="AT28" s="567"/>
      <c r="AU28" s="473"/>
      <c r="AV28" s="473"/>
      <c r="AW28" s="473"/>
      <c r="AX28" s="473"/>
      <c r="AY28" s="473"/>
      <c r="AZ28" s="473"/>
      <c r="BA28" s="473"/>
      <c r="BB28" s="473"/>
      <c r="BC28" s="473"/>
      <c r="BD28" s="473"/>
      <c r="BE28" s="473"/>
      <c r="BF28" s="473"/>
      <c r="BL28" s="459"/>
      <c r="BM28" s="459"/>
    </row>
    <row r="29" spans="1:65" ht="9.75">
      <c r="A29" s="565">
        <v>5</v>
      </c>
      <c r="B29" s="482" t="s">
        <v>101</v>
      </c>
      <c r="C29" s="483" t="s">
        <v>436</v>
      </c>
      <c r="D29" s="484">
        <v>2</v>
      </c>
      <c r="E29" s="485"/>
      <c r="F29" s="568">
        <v>1</v>
      </c>
      <c r="G29" s="485"/>
      <c r="H29" s="485"/>
      <c r="I29" s="563" t="s">
        <v>81</v>
      </c>
      <c r="J29" s="565">
        <v>4</v>
      </c>
      <c r="K29" s="484"/>
      <c r="L29" s="485"/>
      <c r="M29" s="485"/>
      <c r="N29" s="485"/>
      <c r="O29" s="485"/>
      <c r="P29" s="485"/>
      <c r="Q29" s="565"/>
      <c r="R29" s="514" t="s">
        <v>437</v>
      </c>
      <c r="S29" s="514"/>
      <c r="T29" s="905">
        <f t="shared" si="6"/>
        <v>28</v>
      </c>
      <c r="U29" s="905">
        <f t="shared" si="7"/>
        <v>0</v>
      </c>
      <c r="V29" s="905">
        <f t="shared" si="8"/>
        <v>14</v>
      </c>
      <c r="W29" s="905">
        <f t="shared" si="9"/>
        <v>0</v>
      </c>
      <c r="X29" s="906">
        <f t="shared" si="10"/>
        <v>42</v>
      </c>
      <c r="Y29" s="474"/>
      <c r="AB29" s="459">
        <f>SUM(AB21:AB28)</f>
        <v>3038</v>
      </c>
      <c r="AH29" s="566"/>
      <c r="AT29" s="567"/>
      <c r="AU29" s="473"/>
      <c r="AV29" s="473"/>
      <c r="AW29" s="505"/>
      <c r="AX29" s="473"/>
      <c r="AY29" s="473"/>
      <c r="AZ29" s="473"/>
      <c r="BA29" s="473"/>
      <c r="BB29" s="473"/>
      <c r="BC29" s="473"/>
      <c r="BD29" s="473"/>
      <c r="BE29" s="473"/>
      <c r="BF29" s="473"/>
      <c r="BL29" s="459"/>
      <c r="BM29" s="459"/>
    </row>
    <row r="30" spans="1:65" ht="9.75">
      <c r="A30" s="565">
        <v>6</v>
      </c>
      <c r="B30" s="482" t="s">
        <v>102</v>
      </c>
      <c r="C30" s="483" t="s">
        <v>438</v>
      </c>
      <c r="D30" s="484">
        <v>2</v>
      </c>
      <c r="E30" s="485"/>
      <c r="F30" s="569">
        <v>1</v>
      </c>
      <c r="G30" s="570"/>
      <c r="H30" s="571"/>
      <c r="I30" s="563" t="s">
        <v>81</v>
      </c>
      <c r="J30" s="565">
        <f>INT((3*D30+1.5*E30+1.5*F30+2*G30)*0.56)</f>
        <v>4</v>
      </c>
      <c r="K30" s="484"/>
      <c r="L30" s="485"/>
      <c r="M30" s="485"/>
      <c r="N30" s="485"/>
      <c r="O30" s="485"/>
      <c r="P30" s="485"/>
      <c r="Q30" s="565"/>
      <c r="R30" s="514" t="s">
        <v>439</v>
      </c>
      <c r="S30" s="514"/>
      <c r="T30" s="905">
        <f t="shared" si="6"/>
        <v>28</v>
      </c>
      <c r="U30" s="905">
        <f t="shared" si="7"/>
        <v>0</v>
      </c>
      <c r="V30" s="905">
        <f t="shared" si="8"/>
        <v>14</v>
      </c>
      <c r="W30" s="905">
        <f t="shared" si="9"/>
        <v>0</v>
      </c>
      <c r="X30" s="906">
        <f t="shared" si="10"/>
        <v>42</v>
      </c>
      <c r="Y30" s="474"/>
      <c r="AH30" s="566"/>
      <c r="AO30" s="555"/>
      <c r="AP30" s="555"/>
      <c r="AQ30" s="555"/>
      <c r="AT30" s="567"/>
      <c r="AU30" s="473"/>
      <c r="AV30" s="473"/>
      <c r="AW30" s="505"/>
      <c r="AX30" s="473"/>
      <c r="AY30" s="473"/>
      <c r="AZ30" s="473"/>
      <c r="BA30" s="473"/>
      <c r="BB30" s="473"/>
      <c r="BC30" s="473"/>
      <c r="BD30" s="473"/>
      <c r="BE30" s="473"/>
      <c r="BF30" s="473"/>
      <c r="BL30" s="459"/>
      <c r="BM30" s="459"/>
    </row>
    <row r="31" spans="1:64" ht="9.75">
      <c r="A31" s="564">
        <v>7</v>
      </c>
      <c r="B31" s="487" t="s">
        <v>133</v>
      </c>
      <c r="C31" s="479" t="s">
        <v>440</v>
      </c>
      <c r="D31" s="470">
        <v>2</v>
      </c>
      <c r="E31" s="572"/>
      <c r="F31" s="471">
        <v>2</v>
      </c>
      <c r="G31" s="471"/>
      <c r="H31" s="471"/>
      <c r="I31" s="573" t="s">
        <v>9</v>
      </c>
      <c r="J31" s="564">
        <v>4</v>
      </c>
      <c r="K31" s="470"/>
      <c r="L31" s="471"/>
      <c r="M31" s="471"/>
      <c r="N31" s="471"/>
      <c r="O31" s="471"/>
      <c r="P31" s="471"/>
      <c r="Q31" s="564"/>
      <c r="R31" s="519" t="s">
        <v>421</v>
      </c>
      <c r="S31" s="519"/>
      <c r="T31" s="903">
        <f t="shared" si="6"/>
        <v>28</v>
      </c>
      <c r="U31" s="903">
        <f t="shared" si="7"/>
        <v>0</v>
      </c>
      <c r="V31" s="903">
        <f t="shared" si="8"/>
        <v>28</v>
      </c>
      <c r="W31" s="903">
        <f t="shared" si="9"/>
        <v>0</v>
      </c>
      <c r="X31" s="904">
        <f t="shared" si="10"/>
        <v>56</v>
      </c>
      <c r="Y31" s="474"/>
      <c r="AG31" s="73" t="s">
        <v>441</v>
      </c>
      <c r="AH31" s="566"/>
      <c r="AI31" s="574">
        <f>AD8/AE8</f>
        <v>0.9439252336448598</v>
      </c>
      <c r="AK31" s="73" t="s">
        <v>442</v>
      </c>
      <c r="AP31" s="459"/>
      <c r="AS31" s="567"/>
      <c r="AT31" s="473"/>
      <c r="AU31" s="473"/>
      <c r="AV31" s="575"/>
      <c r="AW31" s="576"/>
      <c r="AX31" s="473"/>
      <c r="AY31" s="473"/>
      <c r="AZ31" s="473"/>
      <c r="BA31" s="473"/>
      <c r="BB31" s="473"/>
      <c r="BC31" s="473"/>
      <c r="BD31" s="473"/>
      <c r="BE31" s="473"/>
      <c r="BL31" s="459"/>
    </row>
    <row r="32" spans="1:56" ht="9.75">
      <c r="A32" s="831">
        <v>8</v>
      </c>
      <c r="B32" s="808" t="s">
        <v>103</v>
      </c>
      <c r="C32" s="832" t="s">
        <v>443</v>
      </c>
      <c r="D32" s="810"/>
      <c r="E32" s="811">
        <v>1</v>
      </c>
      <c r="F32" s="811"/>
      <c r="G32" s="811"/>
      <c r="H32" s="811"/>
      <c r="I32" s="812" t="s">
        <v>9</v>
      </c>
      <c r="J32" s="831">
        <v>1</v>
      </c>
      <c r="K32" s="810"/>
      <c r="L32" s="811"/>
      <c r="M32" s="811"/>
      <c r="N32" s="811"/>
      <c r="O32" s="811"/>
      <c r="P32" s="811"/>
      <c r="Q32" s="831"/>
      <c r="R32" s="815" t="s">
        <v>629</v>
      </c>
      <c r="S32" s="816"/>
      <c r="T32" s="907">
        <f t="shared" si="6"/>
        <v>0</v>
      </c>
      <c r="U32" s="907">
        <f t="shared" si="7"/>
        <v>0</v>
      </c>
      <c r="V32" s="907">
        <f t="shared" si="8"/>
        <v>14</v>
      </c>
      <c r="W32" s="907">
        <f t="shared" si="9"/>
        <v>0</v>
      </c>
      <c r="X32" s="908">
        <f t="shared" si="10"/>
        <v>14</v>
      </c>
      <c r="Y32" s="474"/>
      <c r="AH32" s="566"/>
      <c r="AP32" s="459"/>
      <c r="AR32" s="567"/>
      <c r="AS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</row>
    <row r="33" spans="1:56" ht="9.75">
      <c r="A33" s="564">
        <v>9</v>
      </c>
      <c r="B33" s="487" t="s">
        <v>134</v>
      </c>
      <c r="C33" s="523" t="s">
        <v>444</v>
      </c>
      <c r="D33" s="470"/>
      <c r="E33" s="471"/>
      <c r="F33" s="471"/>
      <c r="G33" s="471"/>
      <c r="H33" s="471"/>
      <c r="I33" s="573"/>
      <c r="J33" s="564"/>
      <c r="K33" s="470"/>
      <c r="L33" s="471"/>
      <c r="M33" s="471"/>
      <c r="N33" s="471">
        <v>2</v>
      </c>
      <c r="O33" s="471"/>
      <c r="P33" s="471" t="s">
        <v>9</v>
      </c>
      <c r="Q33" s="564">
        <v>2</v>
      </c>
      <c r="R33" s="519" t="s">
        <v>421</v>
      </c>
      <c r="S33" s="519"/>
      <c r="T33" s="903">
        <f t="shared" si="6"/>
        <v>0</v>
      </c>
      <c r="U33" s="903">
        <f t="shared" si="7"/>
        <v>0</v>
      </c>
      <c r="V33" s="903">
        <f t="shared" si="8"/>
        <v>0</v>
      </c>
      <c r="W33" s="903">
        <f t="shared" si="9"/>
        <v>28</v>
      </c>
      <c r="X33" s="904">
        <f t="shared" si="10"/>
        <v>28</v>
      </c>
      <c r="Y33" s="474"/>
      <c r="AH33" s="566"/>
      <c r="AP33" s="459"/>
      <c r="AR33" s="567"/>
      <c r="AS33" s="473"/>
      <c r="AU33" s="473"/>
      <c r="AV33" s="473"/>
      <c r="AW33" s="473"/>
      <c r="AX33" s="473"/>
      <c r="AY33" s="473"/>
      <c r="AZ33" s="473"/>
      <c r="BA33" s="473"/>
      <c r="BB33" s="473"/>
      <c r="BC33" s="473"/>
      <c r="BD33" s="473"/>
    </row>
    <row r="34" spans="1:56" ht="9.75">
      <c r="A34" s="565">
        <v>10</v>
      </c>
      <c r="B34" s="482" t="s">
        <v>115</v>
      </c>
      <c r="C34" s="483" t="s">
        <v>445</v>
      </c>
      <c r="D34" s="484"/>
      <c r="E34" s="485"/>
      <c r="F34" s="580"/>
      <c r="G34" s="581"/>
      <c r="H34" s="581"/>
      <c r="I34" s="582"/>
      <c r="J34" s="583"/>
      <c r="K34" s="584"/>
      <c r="L34" s="581"/>
      <c r="M34" s="580"/>
      <c r="N34" s="485">
        <v>2</v>
      </c>
      <c r="O34" s="485"/>
      <c r="P34" s="485" t="s">
        <v>9</v>
      </c>
      <c r="Q34" s="565">
        <v>2</v>
      </c>
      <c r="R34" s="514" t="s">
        <v>435</v>
      </c>
      <c r="S34" s="514"/>
      <c r="T34" s="905">
        <f t="shared" si="6"/>
        <v>0</v>
      </c>
      <c r="U34" s="905">
        <f t="shared" si="7"/>
        <v>0</v>
      </c>
      <c r="V34" s="905">
        <f t="shared" si="8"/>
        <v>0</v>
      </c>
      <c r="W34" s="905">
        <f t="shared" si="9"/>
        <v>28</v>
      </c>
      <c r="X34" s="906">
        <f t="shared" si="10"/>
        <v>28</v>
      </c>
      <c r="Y34" s="474"/>
      <c r="AG34" s="585" t="s">
        <v>446</v>
      </c>
      <c r="AH34" s="586">
        <v>240</v>
      </c>
      <c r="AP34" s="459"/>
      <c r="AR34" s="567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</row>
    <row r="35" spans="1:56" ht="9.75">
      <c r="A35" s="565">
        <v>11</v>
      </c>
      <c r="B35" s="482" t="s">
        <v>104</v>
      </c>
      <c r="C35" s="483" t="s">
        <v>447</v>
      </c>
      <c r="D35" s="484"/>
      <c r="E35" s="485"/>
      <c r="F35" s="569"/>
      <c r="G35" s="570"/>
      <c r="H35" s="570"/>
      <c r="I35" s="563"/>
      <c r="J35" s="565"/>
      <c r="K35" s="484">
        <v>2</v>
      </c>
      <c r="L35" s="485">
        <v>2</v>
      </c>
      <c r="M35" s="485">
        <v>1</v>
      </c>
      <c r="N35" s="485"/>
      <c r="O35" s="485"/>
      <c r="P35" s="485" t="s">
        <v>81</v>
      </c>
      <c r="Q35" s="565">
        <v>4</v>
      </c>
      <c r="R35" s="514" t="s">
        <v>432</v>
      </c>
      <c r="S35" s="514"/>
      <c r="T35" s="905">
        <f t="shared" si="6"/>
        <v>0</v>
      </c>
      <c r="U35" s="905">
        <f t="shared" si="7"/>
        <v>28</v>
      </c>
      <c r="V35" s="905">
        <f t="shared" si="8"/>
        <v>0</v>
      </c>
      <c r="W35" s="905">
        <f t="shared" si="9"/>
        <v>42</v>
      </c>
      <c r="X35" s="906">
        <f t="shared" si="10"/>
        <v>70</v>
      </c>
      <c r="Y35" s="474"/>
      <c r="AH35" s="566"/>
      <c r="AP35" s="459"/>
      <c r="AR35" s="567"/>
      <c r="AS35" s="473"/>
      <c r="AT35" s="473"/>
      <c r="AU35" s="587"/>
      <c r="AV35" s="588"/>
      <c r="AW35" s="588"/>
      <c r="AX35" s="588"/>
      <c r="AY35" s="588"/>
      <c r="AZ35" s="588"/>
      <c r="BA35" s="587"/>
      <c r="BB35" s="473"/>
      <c r="BC35" s="473"/>
      <c r="BD35" s="473"/>
    </row>
    <row r="36" spans="1:56" ht="9.75">
      <c r="A36" s="565">
        <v>12</v>
      </c>
      <c r="B36" s="482" t="s">
        <v>105</v>
      </c>
      <c r="C36" s="483" t="s">
        <v>448</v>
      </c>
      <c r="D36" s="589"/>
      <c r="E36" s="590"/>
      <c r="F36" s="590"/>
      <c r="G36" s="485"/>
      <c r="H36" s="485"/>
      <c r="I36" s="563"/>
      <c r="J36" s="565"/>
      <c r="K36" s="484">
        <v>2</v>
      </c>
      <c r="L36" s="485">
        <v>2</v>
      </c>
      <c r="M36" s="485">
        <v>2</v>
      </c>
      <c r="N36" s="485"/>
      <c r="O36" s="485"/>
      <c r="P36" s="485" t="s">
        <v>81</v>
      </c>
      <c r="Q36" s="565">
        <v>6</v>
      </c>
      <c r="R36" s="514" t="s">
        <v>449</v>
      </c>
      <c r="S36" s="514"/>
      <c r="T36" s="905">
        <f t="shared" si="6"/>
        <v>0</v>
      </c>
      <c r="U36" s="905">
        <f t="shared" si="7"/>
        <v>28</v>
      </c>
      <c r="V36" s="905">
        <f t="shared" si="8"/>
        <v>0</v>
      </c>
      <c r="W36" s="905">
        <f t="shared" si="9"/>
        <v>56</v>
      </c>
      <c r="X36" s="906">
        <f t="shared" si="10"/>
        <v>84</v>
      </c>
      <c r="Y36" s="474"/>
      <c r="AH36" s="566"/>
      <c r="AP36" s="459"/>
      <c r="AR36" s="567"/>
      <c r="AS36" s="473"/>
      <c r="AT36" s="473"/>
      <c r="AU36" s="575"/>
      <c r="AV36" s="576"/>
      <c r="AW36" s="473"/>
      <c r="AX36" s="473"/>
      <c r="AY36" s="473"/>
      <c r="AZ36" s="473"/>
      <c r="BA36" s="473"/>
      <c r="BB36" s="473"/>
      <c r="BC36" s="473"/>
      <c r="BD36" s="473"/>
    </row>
    <row r="37" spans="1:56" ht="9.75">
      <c r="A37" s="565">
        <v>13</v>
      </c>
      <c r="B37" s="482" t="s">
        <v>106</v>
      </c>
      <c r="C37" s="483" t="s">
        <v>450</v>
      </c>
      <c r="D37" s="589"/>
      <c r="E37" s="590"/>
      <c r="F37" s="590"/>
      <c r="G37" s="485"/>
      <c r="H37" s="485"/>
      <c r="I37" s="563"/>
      <c r="J37" s="565"/>
      <c r="K37" s="484">
        <v>2</v>
      </c>
      <c r="L37" s="485">
        <v>1</v>
      </c>
      <c r="M37" s="485">
        <v>1</v>
      </c>
      <c r="N37" s="485"/>
      <c r="O37" s="485"/>
      <c r="P37" s="485" t="s">
        <v>81</v>
      </c>
      <c r="Q37" s="565">
        <v>4</v>
      </c>
      <c r="R37" s="514" t="s">
        <v>451</v>
      </c>
      <c r="S37" s="514"/>
      <c r="T37" s="905">
        <f t="shared" si="6"/>
        <v>0</v>
      </c>
      <c r="U37" s="905">
        <f t="shared" si="7"/>
        <v>28</v>
      </c>
      <c r="V37" s="905">
        <f t="shared" si="8"/>
        <v>0</v>
      </c>
      <c r="W37" s="905">
        <f t="shared" si="9"/>
        <v>28</v>
      </c>
      <c r="X37" s="906">
        <f t="shared" si="10"/>
        <v>56</v>
      </c>
      <c r="Y37" s="474"/>
      <c r="AH37" s="566"/>
      <c r="AP37" s="459"/>
      <c r="AR37" s="567"/>
      <c r="AV37" s="473"/>
      <c r="AW37" s="473"/>
      <c r="AX37" s="473"/>
      <c r="AY37" s="473"/>
      <c r="AZ37" s="473"/>
      <c r="BA37" s="473"/>
      <c r="BB37" s="473"/>
      <c r="BC37" s="473"/>
      <c r="BD37" s="473"/>
    </row>
    <row r="38" spans="1:56" ht="9.75">
      <c r="A38" s="565">
        <v>14</v>
      </c>
      <c r="B38" s="482" t="s">
        <v>118</v>
      </c>
      <c r="C38" s="483" t="s">
        <v>452</v>
      </c>
      <c r="D38" s="589"/>
      <c r="E38" s="590"/>
      <c r="F38" s="590"/>
      <c r="G38" s="485"/>
      <c r="H38" s="485"/>
      <c r="I38" s="563"/>
      <c r="J38" s="565"/>
      <c r="K38" s="484">
        <v>2</v>
      </c>
      <c r="L38" s="485"/>
      <c r="M38" s="485">
        <v>1</v>
      </c>
      <c r="N38" s="485"/>
      <c r="O38" s="485"/>
      <c r="P38" s="485" t="s">
        <v>81</v>
      </c>
      <c r="Q38" s="565">
        <f>INT((3*K38+1.5*L38+1.5*M38+2*N38)*0.56)</f>
        <v>4</v>
      </c>
      <c r="R38" s="514" t="s">
        <v>453</v>
      </c>
      <c r="S38" s="514"/>
      <c r="T38" s="905">
        <f t="shared" si="6"/>
        <v>0</v>
      </c>
      <c r="U38" s="905">
        <f t="shared" si="7"/>
        <v>28</v>
      </c>
      <c r="V38" s="905">
        <f t="shared" si="8"/>
        <v>0</v>
      </c>
      <c r="W38" s="905">
        <f t="shared" si="9"/>
        <v>14</v>
      </c>
      <c r="X38" s="906">
        <f t="shared" si="10"/>
        <v>42</v>
      </c>
      <c r="Y38" s="474"/>
      <c r="AH38" s="459"/>
      <c r="AI38" s="566"/>
      <c r="AP38" s="459"/>
      <c r="AR38" s="567"/>
      <c r="AV38" s="473"/>
      <c r="AW38" s="473"/>
      <c r="AX38" s="473"/>
      <c r="AY38" s="473"/>
      <c r="AZ38" s="473"/>
      <c r="BA38" s="473"/>
      <c r="BB38" s="473"/>
      <c r="BC38" s="473"/>
      <c r="BD38" s="473"/>
    </row>
    <row r="39" spans="1:56" ht="9.75">
      <c r="A39" s="565">
        <v>15</v>
      </c>
      <c r="B39" s="482" t="s">
        <v>120</v>
      </c>
      <c r="C39" s="483" t="s">
        <v>454</v>
      </c>
      <c r="D39" s="589"/>
      <c r="E39" s="590"/>
      <c r="F39" s="590"/>
      <c r="G39" s="485"/>
      <c r="H39" s="485"/>
      <c r="I39" s="563"/>
      <c r="J39" s="565"/>
      <c r="K39" s="484">
        <v>2</v>
      </c>
      <c r="L39" s="485"/>
      <c r="M39" s="485">
        <v>1</v>
      </c>
      <c r="N39" s="485"/>
      <c r="O39" s="485"/>
      <c r="P39" s="485" t="s">
        <v>9</v>
      </c>
      <c r="Q39" s="565">
        <v>3</v>
      </c>
      <c r="R39" s="514" t="s">
        <v>455</v>
      </c>
      <c r="S39" s="514"/>
      <c r="T39" s="905">
        <f t="shared" si="6"/>
        <v>0</v>
      </c>
      <c r="U39" s="905">
        <f t="shared" si="7"/>
        <v>28</v>
      </c>
      <c r="V39" s="905">
        <f t="shared" si="8"/>
        <v>0</v>
      </c>
      <c r="W39" s="905">
        <f t="shared" si="9"/>
        <v>14</v>
      </c>
      <c r="X39" s="906">
        <f t="shared" si="10"/>
        <v>42</v>
      </c>
      <c r="Y39" s="474"/>
      <c r="AH39" s="459"/>
      <c r="AJ39" s="1" t="s">
        <v>390</v>
      </c>
      <c r="AP39" s="459"/>
      <c r="AR39" s="567"/>
      <c r="AV39" s="473"/>
      <c r="AW39" s="473"/>
      <c r="AX39" s="473"/>
      <c r="AY39" s="473"/>
      <c r="AZ39" s="473"/>
      <c r="BA39" s="473"/>
      <c r="BB39" s="473"/>
      <c r="BC39" s="473"/>
      <c r="BD39" s="473"/>
    </row>
    <row r="40" spans="1:56" ht="9.75">
      <c r="A40" s="831">
        <v>16</v>
      </c>
      <c r="B40" s="808" t="s">
        <v>107</v>
      </c>
      <c r="C40" s="832" t="s">
        <v>456</v>
      </c>
      <c r="D40" s="833"/>
      <c r="E40" s="834"/>
      <c r="F40" s="834"/>
      <c r="G40" s="811"/>
      <c r="H40" s="811"/>
      <c r="I40" s="835"/>
      <c r="J40" s="831"/>
      <c r="K40" s="810"/>
      <c r="L40" s="811">
        <v>1</v>
      </c>
      <c r="M40" s="811"/>
      <c r="N40" s="811"/>
      <c r="O40" s="811"/>
      <c r="P40" s="812" t="s">
        <v>9</v>
      </c>
      <c r="Q40" s="831">
        <v>1</v>
      </c>
      <c r="R40" s="815" t="s">
        <v>629</v>
      </c>
      <c r="S40" s="816"/>
      <c r="T40" s="907">
        <f t="shared" si="6"/>
        <v>0</v>
      </c>
      <c r="U40" s="907">
        <f t="shared" si="7"/>
        <v>0</v>
      </c>
      <c r="V40" s="907">
        <f t="shared" si="8"/>
        <v>0</v>
      </c>
      <c r="W40" s="907">
        <f t="shared" si="9"/>
        <v>14</v>
      </c>
      <c r="X40" s="908">
        <f t="shared" si="10"/>
        <v>14</v>
      </c>
      <c r="Y40" s="474"/>
      <c r="AF40" s="460"/>
      <c r="AI40" s="592" t="s">
        <v>424</v>
      </c>
      <c r="AJ40" s="592" t="s">
        <v>59</v>
      </c>
      <c r="AK40" s="1" t="s">
        <v>406</v>
      </c>
      <c r="AP40" s="459"/>
      <c r="AR40" s="567"/>
      <c r="AV40" s="473"/>
      <c r="AW40" s="473"/>
      <c r="AX40" s="473"/>
      <c r="AY40" s="473"/>
      <c r="AZ40" s="473"/>
      <c r="BA40" s="473"/>
      <c r="BB40" s="473"/>
      <c r="BC40" s="473"/>
      <c r="BD40" s="473"/>
    </row>
    <row r="41" spans="1:56" ht="10.5" thickBot="1">
      <c r="A41" s="599">
        <v>17</v>
      </c>
      <c r="B41" s="593" t="s">
        <v>254</v>
      </c>
      <c r="C41" s="594" t="s">
        <v>457</v>
      </c>
      <c r="D41" s="595"/>
      <c r="E41" s="596"/>
      <c r="F41" s="596"/>
      <c r="G41" s="597"/>
      <c r="H41" s="597"/>
      <c r="I41" s="598"/>
      <c r="J41" s="599"/>
      <c r="K41" s="600"/>
      <c r="L41" s="597"/>
      <c r="M41" s="597"/>
      <c r="N41" s="597"/>
      <c r="O41" s="597"/>
      <c r="P41" s="597" t="s">
        <v>9</v>
      </c>
      <c r="Q41" s="565">
        <v>4</v>
      </c>
      <c r="R41" s="514"/>
      <c r="S41" s="514"/>
      <c r="T41" s="905">
        <f t="shared" si="6"/>
        <v>0</v>
      </c>
      <c r="U41" s="905">
        <f t="shared" si="7"/>
        <v>0</v>
      </c>
      <c r="V41" s="905">
        <f t="shared" si="8"/>
        <v>0</v>
      </c>
      <c r="W41" s="905">
        <f t="shared" si="9"/>
        <v>0</v>
      </c>
      <c r="X41" s="906">
        <f>SUM(T41:W41)</f>
        <v>0</v>
      </c>
      <c r="Y41" s="474"/>
      <c r="AG41" s="601" t="s">
        <v>458</v>
      </c>
      <c r="AI41" s="602">
        <f>X142</f>
        <v>994</v>
      </c>
      <c r="AJ41" s="603">
        <f>AI41/AH23</f>
        <v>0.3879781420765027</v>
      </c>
      <c r="AK41" s="604">
        <f>AI41/AG27</f>
        <v>0.3547466095645967</v>
      </c>
      <c r="AL41" s="605" t="s">
        <v>459</v>
      </c>
      <c r="AM41" s="606"/>
      <c r="AN41" s="606"/>
      <c r="AP41" s="459"/>
      <c r="AR41" s="567"/>
      <c r="AV41" s="473"/>
      <c r="AW41" s="473"/>
      <c r="AX41" s="473"/>
      <c r="AY41" s="473"/>
      <c r="AZ41" s="473"/>
      <c r="BA41" s="473"/>
      <c r="BB41" s="473"/>
      <c r="BC41" s="473"/>
      <c r="BD41" s="473"/>
    </row>
    <row r="42" spans="1:56" ht="9.75">
      <c r="A42" s="607"/>
      <c r="B42" s="608"/>
      <c r="C42" s="567"/>
      <c r="D42" s="528">
        <f>SUM(D25:D41)</f>
        <v>14</v>
      </c>
      <c r="E42" s="528">
        <f>SUM(E25:E41)</f>
        <v>6</v>
      </c>
      <c r="F42" s="528">
        <f>SUM(F25:F41)</f>
        <v>6</v>
      </c>
      <c r="G42" s="528">
        <f>SUM(G25:G41)</f>
        <v>0</v>
      </c>
      <c r="H42" s="528">
        <f>SUM(H25:H41)</f>
        <v>0</v>
      </c>
      <c r="I42" s="528"/>
      <c r="J42" s="609">
        <f aca="true" t="shared" si="11" ref="J42:O42">SUM(J25:J41)</f>
        <v>30</v>
      </c>
      <c r="K42" s="610">
        <f t="shared" si="11"/>
        <v>10</v>
      </c>
      <c r="L42" s="528">
        <f t="shared" si="11"/>
        <v>6</v>
      </c>
      <c r="M42" s="528">
        <f t="shared" si="11"/>
        <v>6</v>
      </c>
      <c r="N42" s="528">
        <f t="shared" si="11"/>
        <v>4</v>
      </c>
      <c r="O42" s="611">
        <f t="shared" si="11"/>
        <v>0</v>
      </c>
      <c r="P42" s="611"/>
      <c r="Q42" s="530">
        <f>SUM(Q25:Q41)</f>
        <v>30</v>
      </c>
      <c r="T42" s="915">
        <f>SUM(T25:T41)</f>
        <v>196</v>
      </c>
      <c r="U42" s="915">
        <f>SUM(U25:U41)</f>
        <v>140</v>
      </c>
      <c r="V42" s="915">
        <f>SUM(V25:V41)</f>
        <v>168</v>
      </c>
      <c r="W42" s="915">
        <f>SUM(W25:W41)</f>
        <v>224</v>
      </c>
      <c r="X42" s="915">
        <f>SUM(X25:X41)</f>
        <v>728</v>
      </c>
      <c r="Y42" s="474"/>
      <c r="Z42" s="459" t="s">
        <v>390</v>
      </c>
      <c r="AI42" s="612"/>
      <c r="AJ42" s="613"/>
      <c r="AP42" s="459"/>
      <c r="AR42" s="567"/>
      <c r="AV42" s="473"/>
      <c r="AW42" s="473"/>
      <c r="AX42" s="473"/>
      <c r="AY42" s="473"/>
      <c r="AZ42" s="473"/>
      <c r="BA42" s="473"/>
      <c r="BB42" s="473"/>
      <c r="BC42" s="473"/>
      <c r="BD42" s="473"/>
    </row>
    <row r="43" spans="1:64" ht="9.75">
      <c r="A43" s="473"/>
      <c r="B43" s="521"/>
      <c r="C43" s="614"/>
      <c r="D43" s="535">
        <f>SUM(D42:G42)</f>
        <v>26</v>
      </c>
      <c r="I43" s="543" t="e">
        <f>COUNTIF('[2]an II'!I14:I30,"E")</f>
        <v>#VALUE!</v>
      </c>
      <c r="J43" s="545" t="s">
        <v>81</v>
      </c>
      <c r="K43" s="615">
        <f>SUM(K42:N42)</f>
        <v>26</v>
      </c>
      <c r="L43" s="459"/>
      <c r="M43" s="459"/>
      <c r="N43" s="459"/>
      <c r="P43" s="543">
        <f>COUNTIF(P22:P41,"E")</f>
        <v>4</v>
      </c>
      <c r="Q43" s="616" t="s">
        <v>81</v>
      </c>
      <c r="T43" s="919"/>
      <c r="U43" s="919"/>
      <c r="V43" s="919"/>
      <c r="W43" s="919"/>
      <c r="X43" s="919"/>
      <c r="Y43" s="474"/>
      <c r="AG43" s="73"/>
      <c r="AS43" s="567"/>
      <c r="AW43" s="473"/>
      <c r="AX43" s="473"/>
      <c r="AY43" s="473"/>
      <c r="AZ43" s="473"/>
      <c r="BA43" s="473"/>
      <c r="BB43" s="473"/>
      <c r="BC43" s="473"/>
      <c r="BD43" s="473"/>
      <c r="BE43" s="473"/>
      <c r="BL43" s="459"/>
    </row>
    <row r="44" spans="1:63" ht="9.75">
      <c r="A44" s="473"/>
      <c r="B44" s="521"/>
      <c r="C44" s="617"/>
      <c r="D44" s="473"/>
      <c r="E44" s="473"/>
      <c r="F44" s="473"/>
      <c r="G44" s="473"/>
      <c r="H44" s="473"/>
      <c r="I44" s="543">
        <f>COUNTIF(I23:I43,"C")</f>
        <v>2</v>
      </c>
      <c r="J44" s="537" t="s">
        <v>9</v>
      </c>
      <c r="K44" s="544"/>
      <c r="L44" s="576"/>
      <c r="M44" s="473"/>
      <c r="N44" s="473"/>
      <c r="O44" s="473"/>
      <c r="P44" s="543">
        <f>COUNTIF(P25:P41,"C")</f>
        <v>5</v>
      </c>
      <c r="Q44" s="537" t="s">
        <v>9</v>
      </c>
      <c r="T44" s="916"/>
      <c r="U44" s="916"/>
      <c r="V44" s="916"/>
      <c r="W44" s="916"/>
      <c r="X44" s="920"/>
      <c r="Y44" s="474"/>
      <c r="AL44" s="459"/>
      <c r="AM44" s="459"/>
      <c r="AN44" s="567"/>
      <c r="AO44" s="459"/>
      <c r="AP44" s="459"/>
      <c r="AR44" s="473"/>
      <c r="AS44" s="473"/>
      <c r="AT44" s="473"/>
      <c r="AU44" s="473"/>
      <c r="AV44" s="473"/>
      <c r="AW44" s="473"/>
      <c r="AX44" s="473"/>
      <c r="AY44" s="473"/>
      <c r="AZ44" s="473"/>
      <c r="BH44" s="1"/>
      <c r="BI44" s="1"/>
      <c r="BJ44" s="1"/>
      <c r="BK44" s="1"/>
    </row>
    <row r="45" spans="16:63" ht="9.75">
      <c r="P45" s="543"/>
      <c r="Q45" s="537"/>
      <c r="T45" s="921"/>
      <c r="U45" s="921"/>
      <c r="V45" s="921"/>
      <c r="W45" s="921"/>
      <c r="X45" s="921"/>
      <c r="Y45" s="526"/>
      <c r="AM45" s="618"/>
      <c r="AN45" s="567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H45" s="1"/>
      <c r="BI45" s="1"/>
      <c r="BJ45" s="1"/>
      <c r="BK45" s="1"/>
    </row>
    <row r="46" spans="1:63" ht="10.5" thickBot="1">
      <c r="A46" s="550"/>
      <c r="B46" s="551" t="s">
        <v>108</v>
      </c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AJ46" s="606"/>
      <c r="AK46" s="606"/>
      <c r="AM46" s="459"/>
      <c r="AN46" s="459"/>
      <c r="AO46" s="567"/>
      <c r="AP46" s="459"/>
      <c r="BH46" s="1"/>
      <c r="BI46" s="1"/>
      <c r="BJ46" s="1"/>
      <c r="BK46" s="1"/>
    </row>
    <row r="47" spans="1:63" ht="9.75">
      <c r="A47" s="624">
        <v>1</v>
      </c>
      <c r="B47" s="619" t="s">
        <v>114</v>
      </c>
      <c r="C47" s="620" t="s">
        <v>460</v>
      </c>
      <c r="D47" s="621">
        <v>2</v>
      </c>
      <c r="E47" s="622">
        <v>1</v>
      </c>
      <c r="F47" s="622">
        <v>1</v>
      </c>
      <c r="G47" s="622"/>
      <c r="H47" s="622"/>
      <c r="I47" s="623" t="s">
        <v>81</v>
      </c>
      <c r="J47" s="624">
        <v>4</v>
      </c>
      <c r="K47" s="621"/>
      <c r="L47" s="622"/>
      <c r="M47" s="622"/>
      <c r="N47" s="622"/>
      <c r="O47" s="622"/>
      <c r="P47" s="622"/>
      <c r="Q47" s="624"/>
      <c r="R47" s="514" t="s">
        <v>415</v>
      </c>
      <c r="S47" s="514"/>
      <c r="T47" s="905">
        <f>14*D47</f>
        <v>28</v>
      </c>
      <c r="U47" s="905">
        <f>14*K47</f>
        <v>0</v>
      </c>
      <c r="V47" s="905">
        <f>14*(SUM(E47:G47))</f>
        <v>28</v>
      </c>
      <c r="W47" s="905">
        <f>14*(SUM(L47:N47))</f>
        <v>0</v>
      </c>
      <c r="X47" s="906">
        <f>SUM(T47:W47)</f>
        <v>56</v>
      </c>
      <c r="AM47" s="618"/>
      <c r="AN47" s="459"/>
      <c r="AO47" s="459"/>
      <c r="AP47" s="459"/>
      <c r="BH47" s="1"/>
      <c r="BI47" s="1"/>
      <c r="BJ47" s="1"/>
      <c r="BK47" s="1"/>
    </row>
    <row r="48" spans="1:63" ht="9.75">
      <c r="A48" s="565">
        <v>2</v>
      </c>
      <c r="B48" s="625" t="s">
        <v>114</v>
      </c>
      <c r="C48" s="483" t="s">
        <v>461</v>
      </c>
      <c r="D48" s="484"/>
      <c r="E48" s="485"/>
      <c r="F48" s="485"/>
      <c r="G48" s="485">
        <v>2</v>
      </c>
      <c r="H48" s="485"/>
      <c r="I48" s="563" t="s">
        <v>9</v>
      </c>
      <c r="J48" s="565">
        <f>INT((3*D48+1.5*E48+1.5*F48+2*G48)*0.56)</f>
        <v>2</v>
      </c>
      <c r="K48" s="484"/>
      <c r="L48" s="485"/>
      <c r="M48" s="485"/>
      <c r="N48" s="485"/>
      <c r="O48" s="485"/>
      <c r="P48" s="485"/>
      <c r="Q48" s="565"/>
      <c r="R48" s="514" t="s">
        <v>415</v>
      </c>
      <c r="S48" s="514"/>
      <c r="T48" s="905">
        <f aca="true" t="shared" si="12" ref="T48:T62">14*D48</f>
        <v>0</v>
      </c>
      <c r="U48" s="905">
        <f aca="true" t="shared" si="13" ref="U48:U62">14*K48</f>
        <v>0</v>
      </c>
      <c r="V48" s="905">
        <f aca="true" t="shared" si="14" ref="V48:V62">14*(SUM(E48:G48))</f>
        <v>28</v>
      </c>
      <c r="W48" s="905">
        <f aca="true" t="shared" si="15" ref="W48:W62">14*(SUM(L48:N48))</f>
        <v>0</v>
      </c>
      <c r="X48" s="906">
        <f aca="true" t="shared" si="16" ref="X48:X62">SUM(T48:W48)</f>
        <v>28</v>
      </c>
      <c r="Y48" s="474"/>
      <c r="AL48" s="618"/>
      <c r="AM48" s="459"/>
      <c r="AN48" s="459"/>
      <c r="AO48" s="459"/>
      <c r="AP48" s="459"/>
      <c r="BG48" s="1"/>
      <c r="BH48" s="1"/>
      <c r="BI48" s="1"/>
      <c r="BJ48" s="1"/>
      <c r="BK48" s="1"/>
    </row>
    <row r="49" spans="1:63" ht="9.75">
      <c r="A49" s="565">
        <v>3</v>
      </c>
      <c r="B49" s="625" t="s">
        <v>121</v>
      </c>
      <c r="C49" s="483" t="s">
        <v>462</v>
      </c>
      <c r="D49" s="484">
        <v>2</v>
      </c>
      <c r="E49" s="485"/>
      <c r="F49" s="485">
        <v>2</v>
      </c>
      <c r="G49" s="485"/>
      <c r="H49" s="485"/>
      <c r="I49" s="563" t="s">
        <v>9</v>
      </c>
      <c r="J49" s="565">
        <v>4</v>
      </c>
      <c r="K49" s="484"/>
      <c r="L49" s="485"/>
      <c r="M49" s="485"/>
      <c r="N49" s="485"/>
      <c r="O49" s="485"/>
      <c r="P49" s="485"/>
      <c r="Q49" s="565"/>
      <c r="R49" s="514" t="s">
        <v>415</v>
      </c>
      <c r="S49" s="514"/>
      <c r="T49" s="905">
        <f t="shared" si="12"/>
        <v>28</v>
      </c>
      <c r="U49" s="905">
        <f t="shared" si="13"/>
        <v>0</v>
      </c>
      <c r="V49" s="905">
        <f t="shared" si="14"/>
        <v>28</v>
      </c>
      <c r="W49" s="905">
        <f t="shared" si="15"/>
        <v>0</v>
      </c>
      <c r="X49" s="906">
        <f t="shared" si="16"/>
        <v>56</v>
      </c>
      <c r="Y49" s="474"/>
      <c r="AL49" s="459"/>
      <c r="AM49" s="459"/>
      <c r="AN49" s="459"/>
      <c r="AO49" s="459"/>
      <c r="AP49" s="459"/>
      <c r="BG49" s="1"/>
      <c r="BH49" s="1"/>
      <c r="BI49" s="1"/>
      <c r="BJ49" s="1"/>
      <c r="BK49" s="1"/>
    </row>
    <row r="50" spans="1:63" ht="9.75">
      <c r="A50" s="104">
        <v>4</v>
      </c>
      <c r="B50" s="626" t="s">
        <v>162</v>
      </c>
      <c r="C50" s="577" t="s">
        <v>463</v>
      </c>
      <c r="D50" s="503">
        <v>2</v>
      </c>
      <c r="E50" s="504">
        <v>1</v>
      </c>
      <c r="F50" s="504"/>
      <c r="G50" s="504"/>
      <c r="H50" s="504"/>
      <c r="I50" s="504" t="s">
        <v>9</v>
      </c>
      <c r="J50" s="565">
        <v>4</v>
      </c>
      <c r="K50" s="102"/>
      <c r="L50" s="86"/>
      <c r="M50" s="86"/>
      <c r="N50" s="86"/>
      <c r="O50" s="86"/>
      <c r="P50" s="86"/>
      <c r="Q50" s="104"/>
      <c r="R50" s="562" t="s">
        <v>432</v>
      </c>
      <c r="S50" s="473"/>
      <c r="T50" s="909">
        <f t="shared" si="12"/>
        <v>28</v>
      </c>
      <c r="U50" s="909">
        <f t="shared" si="13"/>
        <v>0</v>
      </c>
      <c r="V50" s="909">
        <f t="shared" si="14"/>
        <v>14</v>
      </c>
      <c r="W50" s="909">
        <f t="shared" si="15"/>
        <v>0</v>
      </c>
      <c r="X50" s="910">
        <f t="shared" si="16"/>
        <v>42</v>
      </c>
      <c r="Y50" s="474"/>
      <c r="AL50" s="627"/>
      <c r="AM50" s="459"/>
      <c r="AN50" s="459"/>
      <c r="AO50" s="459"/>
      <c r="AP50" s="459"/>
      <c r="BG50" s="1"/>
      <c r="BH50" s="1"/>
      <c r="BI50" s="1"/>
      <c r="BJ50" s="1"/>
      <c r="BK50" s="1"/>
    </row>
    <row r="51" spans="1:63" ht="9.75">
      <c r="A51" s="104">
        <v>5</v>
      </c>
      <c r="B51" s="626" t="s">
        <v>125</v>
      </c>
      <c r="C51" s="577" t="s">
        <v>464</v>
      </c>
      <c r="D51" s="503">
        <v>2</v>
      </c>
      <c r="E51" s="504"/>
      <c r="F51" s="504">
        <v>1</v>
      </c>
      <c r="G51" s="504"/>
      <c r="H51" s="504"/>
      <c r="I51" s="579" t="s">
        <v>81</v>
      </c>
      <c r="J51" s="565">
        <f>INT((3*D51+1.5*E51+1.5*F51+2*G51)*0.56)</f>
        <v>4</v>
      </c>
      <c r="K51" s="102"/>
      <c r="L51" s="86"/>
      <c r="M51" s="86"/>
      <c r="N51" s="86"/>
      <c r="O51" s="86"/>
      <c r="P51" s="86"/>
      <c r="Q51" s="104"/>
      <c r="R51" s="562" t="s">
        <v>398</v>
      </c>
      <c r="S51" s="473"/>
      <c r="T51" s="909">
        <f t="shared" si="12"/>
        <v>28</v>
      </c>
      <c r="U51" s="909">
        <f t="shared" si="13"/>
        <v>0</v>
      </c>
      <c r="V51" s="909">
        <f t="shared" si="14"/>
        <v>14</v>
      </c>
      <c r="W51" s="909">
        <f t="shared" si="15"/>
        <v>0</v>
      </c>
      <c r="X51" s="910">
        <f t="shared" si="16"/>
        <v>42</v>
      </c>
      <c r="Y51" s="474"/>
      <c r="AL51" s="618"/>
      <c r="AM51" s="459"/>
      <c r="AN51" s="459"/>
      <c r="AO51" s="459"/>
      <c r="AP51" s="459"/>
      <c r="BG51" s="1"/>
      <c r="BH51" s="1"/>
      <c r="BI51" s="1"/>
      <c r="BJ51" s="1"/>
      <c r="BK51" s="1"/>
    </row>
    <row r="52" spans="1:63" ht="9.75">
      <c r="A52" s="104">
        <v>6</v>
      </c>
      <c r="B52" s="626" t="s">
        <v>176</v>
      </c>
      <c r="C52" s="577" t="s">
        <v>465</v>
      </c>
      <c r="D52" s="503">
        <v>2</v>
      </c>
      <c r="E52" s="504"/>
      <c r="F52" s="504">
        <v>1</v>
      </c>
      <c r="G52" s="504">
        <v>1</v>
      </c>
      <c r="H52" s="504"/>
      <c r="I52" s="579" t="s">
        <v>9</v>
      </c>
      <c r="J52" s="565">
        <v>4</v>
      </c>
      <c r="K52" s="102"/>
      <c r="L52" s="86"/>
      <c r="M52" s="86"/>
      <c r="N52" s="86"/>
      <c r="O52" s="86"/>
      <c r="P52" s="86"/>
      <c r="Q52" s="104"/>
      <c r="R52" s="562" t="s">
        <v>404</v>
      </c>
      <c r="S52" s="473"/>
      <c r="T52" s="909">
        <f t="shared" si="12"/>
        <v>28</v>
      </c>
      <c r="U52" s="909">
        <f t="shared" si="13"/>
        <v>0</v>
      </c>
      <c r="V52" s="909">
        <f t="shared" si="14"/>
        <v>28</v>
      </c>
      <c r="W52" s="909">
        <f t="shared" si="15"/>
        <v>0</v>
      </c>
      <c r="X52" s="910">
        <f t="shared" si="16"/>
        <v>56</v>
      </c>
      <c r="Y52" s="474"/>
      <c r="AL52" s="618"/>
      <c r="AM52" s="459"/>
      <c r="AN52" s="459"/>
      <c r="AO52" s="459"/>
      <c r="AP52" s="459"/>
      <c r="BG52" s="1"/>
      <c r="BH52" s="1"/>
      <c r="BI52" s="1"/>
      <c r="BJ52" s="1"/>
      <c r="BK52" s="1"/>
    </row>
    <row r="53" spans="1:63" ht="9.75">
      <c r="A53" s="565">
        <v>7</v>
      </c>
      <c r="B53" s="625" t="s">
        <v>180</v>
      </c>
      <c r="C53" s="483" t="s">
        <v>466</v>
      </c>
      <c r="D53" s="484">
        <v>2</v>
      </c>
      <c r="E53" s="485"/>
      <c r="F53" s="568">
        <v>1</v>
      </c>
      <c r="G53" s="485"/>
      <c r="H53" s="485"/>
      <c r="I53" s="563" t="s">
        <v>81</v>
      </c>
      <c r="J53" s="565">
        <f>INT((3*D53+1.5*E53+1.5*F53+2*G53)*0.56)</f>
        <v>4</v>
      </c>
      <c r="K53" s="801"/>
      <c r="L53" s="802"/>
      <c r="M53" s="802"/>
      <c r="N53" s="802"/>
      <c r="O53" s="802"/>
      <c r="P53" s="802"/>
      <c r="Q53" s="803"/>
      <c r="R53" s="804" t="s">
        <v>467</v>
      </c>
      <c r="S53" s="804"/>
      <c r="T53" s="905">
        <f t="shared" si="12"/>
        <v>28</v>
      </c>
      <c r="U53" s="905">
        <f t="shared" si="13"/>
        <v>0</v>
      </c>
      <c r="V53" s="905">
        <f t="shared" si="14"/>
        <v>14</v>
      </c>
      <c r="W53" s="905">
        <f t="shared" si="15"/>
        <v>0</v>
      </c>
      <c r="X53" s="906">
        <f t="shared" si="16"/>
        <v>42</v>
      </c>
      <c r="Y53" s="474"/>
      <c r="AL53" s="459"/>
      <c r="AM53" s="459"/>
      <c r="AN53" s="459"/>
      <c r="AO53" s="459"/>
      <c r="AP53" s="459"/>
      <c r="BG53" s="1"/>
      <c r="BH53" s="1"/>
      <c r="BI53" s="1"/>
      <c r="BJ53" s="1"/>
      <c r="BK53" s="1"/>
    </row>
    <row r="54" spans="1:63" ht="9.75">
      <c r="A54" s="565">
        <v>8</v>
      </c>
      <c r="B54" s="625" t="s">
        <v>116</v>
      </c>
      <c r="C54" s="483" t="s">
        <v>468</v>
      </c>
      <c r="D54" s="589"/>
      <c r="E54" s="590"/>
      <c r="F54" s="590"/>
      <c r="G54" s="590"/>
      <c r="H54" s="590"/>
      <c r="I54" s="629"/>
      <c r="J54" s="565"/>
      <c r="K54" s="484">
        <v>2</v>
      </c>
      <c r="L54" s="485"/>
      <c r="M54" s="485">
        <v>1</v>
      </c>
      <c r="N54" s="485"/>
      <c r="O54" s="485"/>
      <c r="P54" s="485" t="s">
        <v>81</v>
      </c>
      <c r="Q54" s="565">
        <v>3</v>
      </c>
      <c r="R54" s="514" t="s">
        <v>415</v>
      </c>
      <c r="S54" s="514"/>
      <c r="T54" s="905">
        <f t="shared" si="12"/>
        <v>0</v>
      </c>
      <c r="U54" s="905">
        <f t="shared" si="13"/>
        <v>28</v>
      </c>
      <c r="V54" s="905">
        <f t="shared" si="14"/>
        <v>0</v>
      </c>
      <c r="W54" s="905">
        <f t="shared" si="15"/>
        <v>14</v>
      </c>
      <c r="X54" s="906">
        <f t="shared" si="16"/>
        <v>42</v>
      </c>
      <c r="Y54" s="474"/>
      <c r="AL54" s="459"/>
      <c r="AM54" s="459"/>
      <c r="AN54" s="459"/>
      <c r="AO54" s="459"/>
      <c r="AP54" s="459"/>
      <c r="BG54" s="1"/>
      <c r="BH54" s="1"/>
      <c r="BI54" s="1"/>
      <c r="BJ54" s="1"/>
      <c r="BK54" s="1"/>
    </row>
    <row r="55" spans="1:63" ht="9.75">
      <c r="A55" s="565">
        <v>9</v>
      </c>
      <c r="B55" s="625" t="s">
        <v>116</v>
      </c>
      <c r="C55" s="483" t="s">
        <v>469</v>
      </c>
      <c r="D55" s="589"/>
      <c r="E55" s="590"/>
      <c r="F55" s="590"/>
      <c r="G55" s="590"/>
      <c r="H55" s="590"/>
      <c r="I55" s="629"/>
      <c r="J55" s="565"/>
      <c r="K55" s="484"/>
      <c r="L55" s="485"/>
      <c r="M55" s="485"/>
      <c r="N55" s="485">
        <v>2</v>
      </c>
      <c r="O55" s="485"/>
      <c r="P55" s="485" t="s">
        <v>9</v>
      </c>
      <c r="Q55" s="565">
        <f>INT((3*K55+1.5*L55+1.5*M55+2*N55)*0.56)</f>
        <v>2</v>
      </c>
      <c r="R55" s="514" t="s">
        <v>415</v>
      </c>
      <c r="S55" s="514"/>
      <c r="T55" s="905">
        <f t="shared" si="12"/>
        <v>0</v>
      </c>
      <c r="U55" s="905">
        <f t="shared" si="13"/>
        <v>0</v>
      </c>
      <c r="V55" s="905">
        <f t="shared" si="14"/>
        <v>0</v>
      </c>
      <c r="W55" s="905">
        <f t="shared" si="15"/>
        <v>28</v>
      </c>
      <c r="X55" s="906">
        <f t="shared" si="16"/>
        <v>28</v>
      </c>
      <c r="Y55" s="474"/>
      <c r="AL55" s="459"/>
      <c r="AM55" s="459"/>
      <c r="AN55" s="459"/>
      <c r="AO55" s="459"/>
      <c r="AP55" s="459"/>
      <c r="BG55" s="1"/>
      <c r="BH55" s="1"/>
      <c r="BI55" s="1"/>
      <c r="BJ55" s="1"/>
      <c r="BK55" s="1"/>
    </row>
    <row r="56" spans="1:63" ht="9.75">
      <c r="A56" s="565">
        <v>10</v>
      </c>
      <c r="B56" s="625" t="s">
        <v>122</v>
      </c>
      <c r="C56" s="483" t="s">
        <v>470</v>
      </c>
      <c r="D56" s="484"/>
      <c r="E56" s="485"/>
      <c r="F56" s="485"/>
      <c r="G56" s="485"/>
      <c r="H56" s="485"/>
      <c r="I56" s="563"/>
      <c r="J56" s="565"/>
      <c r="K56" s="484">
        <v>2</v>
      </c>
      <c r="L56" s="485"/>
      <c r="M56" s="485">
        <v>1</v>
      </c>
      <c r="N56" s="485"/>
      <c r="O56" s="485"/>
      <c r="P56" s="485" t="s">
        <v>81</v>
      </c>
      <c r="Q56" s="565">
        <v>3</v>
      </c>
      <c r="R56" s="514" t="s">
        <v>415</v>
      </c>
      <c r="S56" s="514"/>
      <c r="T56" s="905">
        <f t="shared" si="12"/>
        <v>0</v>
      </c>
      <c r="U56" s="905">
        <f t="shared" si="13"/>
        <v>28</v>
      </c>
      <c r="V56" s="905">
        <f t="shared" si="14"/>
        <v>0</v>
      </c>
      <c r="W56" s="905">
        <f t="shared" si="15"/>
        <v>14</v>
      </c>
      <c r="X56" s="906">
        <f t="shared" si="16"/>
        <v>42</v>
      </c>
      <c r="Y56" s="474"/>
      <c r="AL56" s="618"/>
      <c r="AM56" s="459"/>
      <c r="AN56" s="459"/>
      <c r="AO56" s="459"/>
      <c r="AP56" s="459"/>
      <c r="BG56" s="1"/>
      <c r="BH56" s="1"/>
      <c r="BI56" s="1"/>
      <c r="BJ56" s="1"/>
      <c r="BK56" s="1"/>
    </row>
    <row r="57" spans="1:63" ht="9.75">
      <c r="A57" s="565">
        <v>11</v>
      </c>
      <c r="B57" s="625" t="s">
        <v>117</v>
      </c>
      <c r="C57" s="483" t="s">
        <v>471</v>
      </c>
      <c r="D57" s="484"/>
      <c r="E57" s="485"/>
      <c r="F57" s="485"/>
      <c r="G57" s="485"/>
      <c r="H57" s="485"/>
      <c r="I57" s="563"/>
      <c r="J57" s="565"/>
      <c r="K57" s="484">
        <v>2</v>
      </c>
      <c r="L57" s="485"/>
      <c r="M57" s="485">
        <v>1</v>
      </c>
      <c r="N57" s="485"/>
      <c r="O57" s="485"/>
      <c r="P57" s="485" t="s">
        <v>81</v>
      </c>
      <c r="Q57" s="565">
        <v>3</v>
      </c>
      <c r="R57" s="514" t="s">
        <v>435</v>
      </c>
      <c r="S57" s="514"/>
      <c r="T57" s="905">
        <f t="shared" si="12"/>
        <v>0</v>
      </c>
      <c r="U57" s="905">
        <f t="shared" si="13"/>
        <v>28</v>
      </c>
      <c r="V57" s="905">
        <f t="shared" si="14"/>
        <v>0</v>
      </c>
      <c r="W57" s="905">
        <f t="shared" si="15"/>
        <v>14</v>
      </c>
      <c r="X57" s="906">
        <f t="shared" si="16"/>
        <v>42</v>
      </c>
      <c r="Y57" s="474"/>
      <c r="AL57" s="459"/>
      <c r="AM57" s="459"/>
      <c r="AN57" s="459"/>
      <c r="AO57" s="459"/>
      <c r="AP57" s="459"/>
      <c r="BG57" s="1"/>
      <c r="BH57" s="1"/>
      <c r="BI57" s="1"/>
      <c r="BJ57" s="1"/>
      <c r="BK57" s="1"/>
    </row>
    <row r="58" spans="1:54" ht="9.75">
      <c r="A58" s="565">
        <v>12</v>
      </c>
      <c r="B58" s="625" t="s">
        <v>277</v>
      </c>
      <c r="C58" s="483" t="s">
        <v>472</v>
      </c>
      <c r="D58" s="484"/>
      <c r="E58" s="485"/>
      <c r="F58" s="485"/>
      <c r="G58" s="485"/>
      <c r="H58" s="485"/>
      <c r="I58" s="563"/>
      <c r="J58" s="565"/>
      <c r="K58" s="484">
        <v>2</v>
      </c>
      <c r="L58" s="485"/>
      <c r="M58" s="485">
        <v>1</v>
      </c>
      <c r="N58" s="485"/>
      <c r="O58" s="485"/>
      <c r="P58" s="485" t="s">
        <v>81</v>
      </c>
      <c r="Q58" s="565">
        <v>3</v>
      </c>
      <c r="R58" s="805" t="s">
        <v>473</v>
      </c>
      <c r="S58" s="514"/>
      <c r="T58" s="905">
        <f t="shared" si="12"/>
        <v>0</v>
      </c>
      <c r="U58" s="905">
        <f t="shared" si="13"/>
        <v>28</v>
      </c>
      <c r="V58" s="905">
        <f t="shared" si="14"/>
        <v>0</v>
      </c>
      <c r="W58" s="905">
        <f t="shared" si="15"/>
        <v>14</v>
      </c>
      <c r="X58" s="906">
        <f t="shared" si="16"/>
        <v>42</v>
      </c>
      <c r="Y58" s="526"/>
      <c r="AF58" s="460"/>
      <c r="AG58" s="460"/>
      <c r="AR58" s="567"/>
      <c r="AS58" s="473"/>
      <c r="AT58" s="473"/>
      <c r="AU58" s="473"/>
      <c r="AV58" s="473"/>
      <c r="AY58" s="473"/>
      <c r="AZ58" s="473"/>
      <c r="BA58" s="473"/>
      <c r="BB58" s="473"/>
    </row>
    <row r="59" spans="1:54" ht="9.75">
      <c r="A59" s="104">
        <v>13</v>
      </c>
      <c r="B59" s="626" t="s">
        <v>181</v>
      </c>
      <c r="C59" s="577" t="s">
        <v>474</v>
      </c>
      <c r="D59" s="503"/>
      <c r="E59" s="504"/>
      <c r="F59" s="504"/>
      <c r="G59" s="504"/>
      <c r="H59" s="504"/>
      <c r="I59" s="579"/>
      <c r="J59" s="565"/>
      <c r="K59" s="503">
        <v>2</v>
      </c>
      <c r="L59" s="504"/>
      <c r="M59" s="504">
        <v>1</v>
      </c>
      <c r="N59" s="504"/>
      <c r="O59" s="504"/>
      <c r="P59" s="504" t="s">
        <v>9</v>
      </c>
      <c r="Q59" s="565">
        <v>3</v>
      </c>
      <c r="R59" s="628" t="s">
        <v>475</v>
      </c>
      <c r="S59" s="633"/>
      <c r="T59" s="909">
        <f t="shared" si="12"/>
        <v>0</v>
      </c>
      <c r="U59" s="909">
        <f t="shared" si="13"/>
        <v>28</v>
      </c>
      <c r="V59" s="909">
        <f t="shared" si="14"/>
        <v>0</v>
      </c>
      <c r="W59" s="909">
        <f t="shared" si="15"/>
        <v>14</v>
      </c>
      <c r="X59" s="910">
        <f t="shared" si="16"/>
        <v>42</v>
      </c>
      <c r="Z59" s="634"/>
      <c r="AF59" s="460"/>
      <c r="AG59" s="460"/>
      <c r="AR59" s="567"/>
      <c r="AS59" s="473"/>
      <c r="AT59" s="473"/>
      <c r="AU59" s="473"/>
      <c r="AV59" s="473"/>
      <c r="AY59" s="473"/>
      <c r="AZ59" s="473"/>
      <c r="BA59" s="473"/>
      <c r="BB59" s="473"/>
    </row>
    <row r="60" spans="1:54" ht="9.75">
      <c r="A60" s="565">
        <v>14</v>
      </c>
      <c r="B60" s="625" t="s">
        <v>119</v>
      </c>
      <c r="C60" s="483" t="s">
        <v>518</v>
      </c>
      <c r="D60" s="484"/>
      <c r="E60" s="485"/>
      <c r="F60" s="485"/>
      <c r="G60" s="485"/>
      <c r="H60" s="485"/>
      <c r="I60" s="563"/>
      <c r="J60" s="565"/>
      <c r="K60" s="484">
        <v>2</v>
      </c>
      <c r="L60" s="485"/>
      <c r="M60" s="485">
        <v>1</v>
      </c>
      <c r="N60" s="485"/>
      <c r="O60" s="485"/>
      <c r="P60" s="563" t="s">
        <v>9</v>
      </c>
      <c r="Q60" s="565">
        <v>3</v>
      </c>
      <c r="R60" s="514" t="s">
        <v>476</v>
      </c>
      <c r="S60" s="514"/>
      <c r="T60" s="905">
        <f t="shared" si="12"/>
        <v>0</v>
      </c>
      <c r="U60" s="905">
        <f t="shared" si="13"/>
        <v>28</v>
      </c>
      <c r="V60" s="905">
        <f t="shared" si="14"/>
        <v>0</v>
      </c>
      <c r="W60" s="905">
        <f t="shared" si="15"/>
        <v>14</v>
      </c>
      <c r="X60" s="906">
        <f t="shared" si="16"/>
        <v>42</v>
      </c>
      <c r="AF60" s="460"/>
      <c r="AG60" s="460"/>
      <c r="AR60" s="567"/>
      <c r="AS60" s="473"/>
      <c r="AT60" s="473"/>
      <c r="AU60" s="473"/>
      <c r="AV60" s="473"/>
      <c r="AY60" s="473"/>
      <c r="AZ60" s="473"/>
      <c r="BA60" s="473"/>
      <c r="BB60" s="473"/>
    </row>
    <row r="61" spans="1:54" ht="9.75">
      <c r="A61" s="836">
        <v>15</v>
      </c>
      <c r="B61" s="837" t="s">
        <v>270</v>
      </c>
      <c r="C61" s="838" t="s">
        <v>519</v>
      </c>
      <c r="D61" s="839"/>
      <c r="E61" s="840"/>
      <c r="F61" s="840"/>
      <c r="G61" s="840"/>
      <c r="H61" s="840"/>
      <c r="I61" s="841"/>
      <c r="J61" s="831"/>
      <c r="K61" s="839"/>
      <c r="L61" s="840">
        <v>2</v>
      </c>
      <c r="M61" s="840"/>
      <c r="N61" s="840"/>
      <c r="O61" s="840"/>
      <c r="P61" s="841" t="s">
        <v>9</v>
      </c>
      <c r="Q61" s="831">
        <v>2</v>
      </c>
      <c r="R61" s="821" t="s">
        <v>630</v>
      </c>
      <c r="S61" s="816"/>
      <c r="T61" s="907">
        <f t="shared" si="12"/>
        <v>0</v>
      </c>
      <c r="U61" s="907">
        <f t="shared" si="13"/>
        <v>0</v>
      </c>
      <c r="V61" s="907">
        <f t="shared" si="14"/>
        <v>0</v>
      </c>
      <c r="W61" s="907">
        <f t="shared" si="15"/>
        <v>28</v>
      </c>
      <c r="X61" s="908">
        <f t="shared" si="16"/>
        <v>28</v>
      </c>
      <c r="AF61" s="460"/>
      <c r="AG61" s="460"/>
      <c r="AR61" s="567"/>
      <c r="AS61" s="473"/>
      <c r="AT61" s="473"/>
      <c r="AU61" s="473"/>
      <c r="AV61" s="473"/>
      <c r="AY61" s="473"/>
      <c r="AZ61" s="473"/>
      <c r="BA61" s="473"/>
      <c r="BB61" s="473"/>
    </row>
    <row r="62" spans="1:54" ht="12" customHeight="1" thickBot="1">
      <c r="A62" s="191">
        <v>16</v>
      </c>
      <c r="B62" s="842" t="s">
        <v>255</v>
      </c>
      <c r="C62" s="286" t="s">
        <v>477</v>
      </c>
      <c r="D62" s="209"/>
      <c r="E62" s="187"/>
      <c r="F62" s="187"/>
      <c r="G62" s="187"/>
      <c r="H62" s="187"/>
      <c r="I62" s="190"/>
      <c r="J62" s="104"/>
      <c r="K62" s="209"/>
      <c r="L62" s="187"/>
      <c r="M62" s="187"/>
      <c r="N62" s="187"/>
      <c r="O62" s="187"/>
      <c r="P62" s="187" t="s">
        <v>9</v>
      </c>
      <c r="Q62" s="104">
        <v>4</v>
      </c>
      <c r="R62" s="473"/>
      <c r="S62" s="473"/>
      <c r="T62" s="909">
        <f t="shared" si="12"/>
        <v>0</v>
      </c>
      <c r="U62" s="909">
        <f t="shared" si="13"/>
        <v>0</v>
      </c>
      <c r="V62" s="909">
        <f t="shared" si="14"/>
        <v>0</v>
      </c>
      <c r="W62" s="909">
        <f t="shared" si="15"/>
        <v>0</v>
      </c>
      <c r="X62" s="910">
        <f t="shared" si="16"/>
        <v>0</v>
      </c>
      <c r="AF62" s="460"/>
      <c r="AG62" s="460"/>
      <c r="AR62" s="567"/>
      <c r="AS62" s="473"/>
      <c r="AT62" s="473"/>
      <c r="AU62" s="473"/>
      <c r="AV62" s="473"/>
      <c r="AY62" s="473"/>
      <c r="AZ62" s="473"/>
      <c r="BA62" s="473"/>
      <c r="BB62" s="473"/>
    </row>
    <row r="63" spans="4:54" ht="9.75">
      <c r="D63" s="528">
        <f>SUM(D47:D62)</f>
        <v>12</v>
      </c>
      <c r="E63" s="528">
        <f>SUM(E47:E62)</f>
        <v>2</v>
      </c>
      <c r="F63" s="528">
        <f>SUM(F47:F62)</f>
        <v>6</v>
      </c>
      <c r="G63" s="635">
        <f>SUM(G47:G62)</f>
        <v>3</v>
      </c>
      <c r="H63" s="528">
        <f>SUM(H47:H62)</f>
        <v>0</v>
      </c>
      <c r="I63" s="528"/>
      <c r="J63" s="565">
        <f aca="true" t="shared" si="17" ref="J63:O63">SUM(J47:J62)</f>
        <v>26</v>
      </c>
      <c r="K63" s="610">
        <f t="shared" si="17"/>
        <v>12</v>
      </c>
      <c r="L63" s="528">
        <f t="shared" si="17"/>
        <v>2</v>
      </c>
      <c r="M63" s="528">
        <f t="shared" si="17"/>
        <v>6</v>
      </c>
      <c r="N63" s="528">
        <f t="shared" si="17"/>
        <v>2</v>
      </c>
      <c r="O63" s="528">
        <f t="shared" si="17"/>
        <v>0</v>
      </c>
      <c r="Q63" s="636">
        <f>SUM(Q47:Q62)</f>
        <v>26</v>
      </c>
      <c r="T63" s="915">
        <f>SUM(T47:T62)</f>
        <v>168</v>
      </c>
      <c r="U63" s="915">
        <f>SUM(U47:U62)</f>
        <v>168</v>
      </c>
      <c r="V63" s="915">
        <f>SUM(V47:V62)</f>
        <v>154</v>
      </c>
      <c r="W63" s="915">
        <f>SUM(W47:W62)</f>
        <v>140</v>
      </c>
      <c r="X63" s="915">
        <f>SUM(X47:X62)</f>
        <v>630</v>
      </c>
      <c r="Z63" s="459" t="s">
        <v>390</v>
      </c>
      <c r="AF63" s="460"/>
      <c r="AG63" s="460"/>
      <c r="AR63" s="567"/>
      <c r="AS63" s="463"/>
      <c r="AT63" s="463"/>
      <c r="AU63" s="463"/>
      <c r="AV63" s="463"/>
      <c r="AY63" s="463"/>
      <c r="AZ63" s="463"/>
      <c r="BA63" s="463"/>
      <c r="BB63" s="463"/>
    </row>
    <row r="64" spans="4:54" ht="9.75">
      <c r="D64" s="637">
        <f>SUM(D63:G63)</f>
        <v>23</v>
      </c>
      <c r="G64" s="459"/>
      <c r="H64" s="459">
        <f>H63+H93</f>
        <v>0</v>
      </c>
      <c r="I64" s="543">
        <f>COUNTIF(I47:I62,"E")</f>
        <v>3</v>
      </c>
      <c r="J64" s="545" t="s">
        <v>81</v>
      </c>
      <c r="K64" s="638">
        <f>SUM(K63:N63)</f>
        <v>22</v>
      </c>
      <c r="O64" s="459">
        <f>O63+O93</f>
        <v>0</v>
      </c>
      <c r="P64" s="543">
        <f>COUNTIF(P47:P62,"E")</f>
        <v>4</v>
      </c>
      <c r="Q64" s="537" t="s">
        <v>81</v>
      </c>
      <c r="T64" s="922">
        <f>14*D63</f>
        <v>168</v>
      </c>
      <c r="U64" s="922">
        <f>14*K63</f>
        <v>168</v>
      </c>
      <c r="V64" s="922">
        <f>14*(E63+F63+G63)</f>
        <v>154</v>
      </c>
      <c r="W64" s="922">
        <f>14*(L63+M63+N63)</f>
        <v>140</v>
      </c>
      <c r="X64" s="922">
        <f>SUM(T64:W64)</f>
        <v>630</v>
      </c>
      <c r="AF64" s="460"/>
      <c r="AG64" s="460"/>
      <c r="AR64" s="567"/>
      <c r="AS64" s="473"/>
      <c r="AT64" s="473"/>
      <c r="AU64" s="473"/>
      <c r="AV64" s="473"/>
      <c r="AY64" s="473"/>
      <c r="AZ64" s="473"/>
      <c r="BA64" s="522"/>
      <c r="BB64" s="473"/>
    </row>
    <row r="65" spans="2:54" ht="9.75">
      <c r="B65" s="639"/>
      <c r="D65" s="535">
        <f>SUM(D64+D94)</f>
        <v>26</v>
      </c>
      <c r="I65" s="543">
        <f>COUNTIF(I47:I62,"C")</f>
        <v>4</v>
      </c>
      <c r="J65" s="545" t="s">
        <v>9</v>
      </c>
      <c r="K65" s="615">
        <f>SUM(K64+K94)</f>
        <v>26</v>
      </c>
      <c r="P65" s="543">
        <f>COUNTIF(P47:P62,"C")</f>
        <v>5</v>
      </c>
      <c r="Q65" s="537" t="s">
        <v>9</v>
      </c>
      <c r="AF65" s="460"/>
      <c r="AG65" s="460"/>
      <c r="AR65" s="567"/>
      <c r="AS65" s="473"/>
      <c r="AT65" s="473"/>
      <c r="AU65" s="473"/>
      <c r="AV65" s="473"/>
      <c r="AY65" s="473"/>
      <c r="AZ65" s="473"/>
      <c r="BA65" s="473"/>
      <c r="BB65" s="473"/>
    </row>
    <row r="66" spans="2:54" ht="9.75">
      <c r="B66" s="459"/>
      <c r="I66" s="543"/>
      <c r="J66" s="537"/>
      <c r="K66" s="459"/>
      <c r="P66" s="543"/>
      <c r="Q66" s="537"/>
      <c r="AF66" s="460"/>
      <c r="AG66" s="460"/>
      <c r="AR66" s="567"/>
      <c r="AS66" s="473"/>
      <c r="AT66" s="473"/>
      <c r="AU66" s="473"/>
      <c r="AV66" s="473"/>
      <c r="AY66" s="473"/>
      <c r="AZ66" s="473"/>
      <c r="BA66" s="473"/>
      <c r="BB66" s="473"/>
    </row>
    <row r="67" spans="2:54" ht="9.75">
      <c r="B67" s="459"/>
      <c r="J67" s="634">
        <f>SUM(J63+J93)</f>
        <v>30</v>
      </c>
      <c r="Q67" s="634">
        <f>SUM(Q63+Q93)</f>
        <v>30</v>
      </c>
      <c r="AF67" s="460"/>
      <c r="AG67" s="460"/>
      <c r="AR67" s="567"/>
      <c r="AS67" s="473"/>
      <c r="AT67" s="473"/>
      <c r="AU67" s="473"/>
      <c r="AV67" s="473"/>
      <c r="AY67" s="473"/>
      <c r="AZ67" s="473"/>
      <c r="BA67" s="473"/>
      <c r="BB67" s="473"/>
    </row>
    <row r="68" spans="2:54" ht="9.75">
      <c r="B68" s="499"/>
      <c r="AF68" s="460"/>
      <c r="AG68" s="640"/>
      <c r="AR68" s="567"/>
      <c r="AS68" s="473"/>
      <c r="AT68" s="473"/>
      <c r="AU68" s="473"/>
      <c r="AV68" s="473"/>
      <c r="AY68" s="473"/>
      <c r="AZ68" s="473"/>
      <c r="BA68" s="473"/>
      <c r="BB68" s="473"/>
    </row>
    <row r="69" spans="1:54" ht="10.5" thickBot="1">
      <c r="A69" s="550"/>
      <c r="B69" s="551" t="s">
        <v>109</v>
      </c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  <c r="P69" s="550"/>
      <c r="Q69" s="550"/>
      <c r="AF69" s="460"/>
      <c r="AG69" s="460"/>
      <c r="AR69" s="567"/>
      <c r="AS69" s="473"/>
      <c r="AT69" s="473"/>
      <c r="AU69" s="473"/>
      <c r="AV69" s="473"/>
      <c r="AY69" s="473"/>
      <c r="AZ69" s="473"/>
      <c r="BA69" s="473"/>
      <c r="BB69" s="473"/>
    </row>
    <row r="70" spans="1:33" ht="9.75">
      <c r="A70" s="192">
        <v>1</v>
      </c>
      <c r="B70" s="641" t="s">
        <v>128</v>
      </c>
      <c r="C70" s="642" t="s">
        <v>478</v>
      </c>
      <c r="D70" s="643">
        <v>2</v>
      </c>
      <c r="E70" s="644"/>
      <c r="F70" s="644"/>
      <c r="G70" s="644">
        <v>1</v>
      </c>
      <c r="H70" s="644"/>
      <c r="I70" s="645" t="s">
        <v>81</v>
      </c>
      <c r="J70" s="646">
        <v>4</v>
      </c>
      <c r="K70" s="561"/>
      <c r="L70" s="558"/>
      <c r="M70" s="558"/>
      <c r="N70" s="558"/>
      <c r="O70" s="558"/>
      <c r="P70" s="529"/>
      <c r="Q70" s="636"/>
      <c r="R70" s="562" t="s">
        <v>421</v>
      </c>
      <c r="T70" s="909">
        <f>14*D70</f>
        <v>28</v>
      </c>
      <c r="U70" s="909">
        <f>14*K70</f>
        <v>0</v>
      </c>
      <c r="V70" s="909">
        <f>14*(SUM(E70:G70))</f>
        <v>14</v>
      </c>
      <c r="W70" s="909">
        <f aca="true" t="shared" si="18" ref="W70:W82">14*(SUM(L70:N70))</f>
        <v>0</v>
      </c>
      <c r="X70" s="910">
        <f aca="true" t="shared" si="19" ref="X70:X81">SUM(T70:W70)</f>
        <v>42</v>
      </c>
      <c r="AF70" s="460"/>
      <c r="AG70" s="460"/>
    </row>
    <row r="71" spans="1:33" ht="9.75">
      <c r="A71" s="104">
        <v>3</v>
      </c>
      <c r="B71" s="626" t="s">
        <v>276</v>
      </c>
      <c r="C71" s="647" t="s">
        <v>479</v>
      </c>
      <c r="D71" s="503">
        <v>2</v>
      </c>
      <c r="E71" s="504"/>
      <c r="F71" s="648">
        <v>1</v>
      </c>
      <c r="G71" s="504"/>
      <c r="H71" s="504"/>
      <c r="I71" s="579" t="s">
        <v>81</v>
      </c>
      <c r="J71" s="578">
        <f>INT((3*D71+1.5*E71+1.5*F71+2*G71)*0.56)</f>
        <v>4</v>
      </c>
      <c r="K71" s="102"/>
      <c r="L71" s="86"/>
      <c r="M71" s="86"/>
      <c r="N71" s="86"/>
      <c r="O71" s="86"/>
      <c r="P71" s="87"/>
      <c r="Q71" s="649"/>
      <c r="R71" s="562" t="s">
        <v>473</v>
      </c>
      <c r="T71" s="909">
        <f aca="true" t="shared" si="20" ref="T71:T82">14*D71</f>
        <v>28</v>
      </c>
      <c r="U71" s="909">
        <f aca="true" t="shared" si="21" ref="U71:U82">14*K71</f>
        <v>0</v>
      </c>
      <c r="V71" s="909">
        <f>14*(SUM(E71:G71))</f>
        <v>14</v>
      </c>
      <c r="W71" s="909">
        <f t="shared" si="18"/>
        <v>0</v>
      </c>
      <c r="X71" s="910">
        <f t="shared" si="19"/>
        <v>42</v>
      </c>
      <c r="Z71" s="634"/>
      <c r="AF71" s="460"/>
      <c r="AG71" s="460"/>
    </row>
    <row r="72" spans="1:33" ht="9.75">
      <c r="A72" s="104">
        <v>4</v>
      </c>
      <c r="B72" s="626" t="s">
        <v>127</v>
      </c>
      <c r="C72" s="647" t="s">
        <v>480</v>
      </c>
      <c r="D72" s="503">
        <v>2</v>
      </c>
      <c r="E72" s="504"/>
      <c r="F72" s="648">
        <v>1</v>
      </c>
      <c r="G72" s="504"/>
      <c r="H72" s="504"/>
      <c r="I72" s="579" t="s">
        <v>81</v>
      </c>
      <c r="J72" s="578">
        <v>4</v>
      </c>
      <c r="K72" s="102"/>
      <c r="L72" s="86"/>
      <c r="M72" s="86"/>
      <c r="N72" s="86"/>
      <c r="O72" s="86"/>
      <c r="P72" s="87"/>
      <c r="Q72" s="649"/>
      <c r="R72" s="562" t="s">
        <v>473</v>
      </c>
      <c r="T72" s="909">
        <f t="shared" si="20"/>
        <v>28</v>
      </c>
      <c r="U72" s="909">
        <f t="shared" si="21"/>
        <v>0</v>
      </c>
      <c r="V72" s="909">
        <f>14*(SUM(E72:G72))</f>
        <v>14</v>
      </c>
      <c r="W72" s="909">
        <f t="shared" si="18"/>
        <v>0</v>
      </c>
      <c r="X72" s="910">
        <f t="shared" si="19"/>
        <v>42</v>
      </c>
      <c r="Z72" s="634"/>
      <c r="AF72" s="460"/>
      <c r="AG72" s="460"/>
    </row>
    <row r="73" spans="1:33" ht="9.75">
      <c r="A73" s="104">
        <v>5</v>
      </c>
      <c r="B73" s="626" t="s">
        <v>127</v>
      </c>
      <c r="C73" s="647" t="s">
        <v>481</v>
      </c>
      <c r="D73" s="503"/>
      <c r="E73" s="504"/>
      <c r="F73" s="648"/>
      <c r="G73" s="504">
        <v>2</v>
      </c>
      <c r="H73" s="504"/>
      <c r="I73" s="579" t="s">
        <v>9</v>
      </c>
      <c r="J73" s="578">
        <f>INT((3*D73+1.5*E73+1.5*F73+2*G73)*0.56)</f>
        <v>2</v>
      </c>
      <c r="K73" s="102"/>
      <c r="L73" s="86"/>
      <c r="M73" s="86"/>
      <c r="N73" s="86"/>
      <c r="O73" s="86"/>
      <c r="P73" s="87"/>
      <c r="Q73" s="649"/>
      <c r="R73" s="562" t="s">
        <v>473</v>
      </c>
      <c r="T73" s="909">
        <f t="shared" si="20"/>
        <v>0</v>
      </c>
      <c r="U73" s="909">
        <f t="shared" si="21"/>
        <v>0</v>
      </c>
      <c r="V73" s="909">
        <f>14*(SUM(E73:G73))</f>
        <v>28</v>
      </c>
      <c r="W73" s="909">
        <f t="shared" si="18"/>
        <v>0</v>
      </c>
      <c r="X73" s="910">
        <f t="shared" si="19"/>
        <v>28</v>
      </c>
      <c r="Z73" s="634"/>
      <c r="AF73" s="460"/>
      <c r="AG73" s="460"/>
    </row>
    <row r="74" spans="1:33" ht="9.75">
      <c r="A74" s="104">
        <v>6</v>
      </c>
      <c r="B74" s="626" t="s">
        <v>278</v>
      </c>
      <c r="C74" s="647" t="s">
        <v>482</v>
      </c>
      <c r="D74" s="503">
        <v>2</v>
      </c>
      <c r="E74" s="504"/>
      <c r="F74" s="648"/>
      <c r="G74" s="504">
        <v>1</v>
      </c>
      <c r="H74" s="504"/>
      <c r="I74" s="579" t="s">
        <v>81</v>
      </c>
      <c r="J74" s="578">
        <v>4</v>
      </c>
      <c r="K74" s="102"/>
      <c r="L74" s="86"/>
      <c r="M74" s="86"/>
      <c r="N74" s="86"/>
      <c r="O74" s="86"/>
      <c r="P74" s="87"/>
      <c r="Q74" s="649"/>
      <c r="R74" s="562" t="s">
        <v>449</v>
      </c>
      <c r="T74" s="909">
        <f>14*D74</f>
        <v>28</v>
      </c>
      <c r="U74" s="909">
        <f t="shared" si="21"/>
        <v>0</v>
      </c>
      <c r="V74" s="909">
        <f>14*(SUM(E74:G74))</f>
        <v>14</v>
      </c>
      <c r="W74" s="909">
        <f t="shared" si="18"/>
        <v>0</v>
      </c>
      <c r="X74" s="910">
        <f t="shared" si="19"/>
        <v>42</v>
      </c>
      <c r="Z74" s="634"/>
      <c r="AF74" s="460"/>
      <c r="AG74" s="460"/>
    </row>
    <row r="75" spans="1:33" ht="9.75">
      <c r="A75" s="565">
        <v>7</v>
      </c>
      <c r="B75" s="625" t="s">
        <v>110</v>
      </c>
      <c r="C75" s="650" t="s">
        <v>483</v>
      </c>
      <c r="D75" s="484">
        <v>2</v>
      </c>
      <c r="E75" s="485">
        <v>1</v>
      </c>
      <c r="F75" s="568"/>
      <c r="G75" s="485"/>
      <c r="H75" s="485"/>
      <c r="I75" s="563" t="s">
        <v>9</v>
      </c>
      <c r="J75" s="565">
        <v>3</v>
      </c>
      <c r="K75" s="484"/>
      <c r="L75" s="485"/>
      <c r="M75" s="485"/>
      <c r="N75" s="485"/>
      <c r="O75" s="485"/>
      <c r="P75" s="590"/>
      <c r="Q75" s="806"/>
      <c r="R75" s="514" t="s">
        <v>437</v>
      </c>
      <c r="S75" s="805"/>
      <c r="T75" s="905">
        <f t="shared" si="20"/>
        <v>28</v>
      </c>
      <c r="U75" s="905">
        <f t="shared" si="21"/>
        <v>0</v>
      </c>
      <c r="V75" s="905">
        <f aca="true" t="shared" si="22" ref="V75:V82">14*(SUM(E75:G75))</f>
        <v>14</v>
      </c>
      <c r="W75" s="905">
        <f t="shared" si="18"/>
        <v>0</v>
      </c>
      <c r="X75" s="906">
        <f t="shared" si="19"/>
        <v>42</v>
      </c>
      <c r="Z75" s="634"/>
      <c r="AB75" s="634"/>
      <c r="AC75" s="634"/>
      <c r="AD75" s="634"/>
      <c r="AE75" s="634"/>
      <c r="AF75" s="460"/>
      <c r="AG75" s="460"/>
    </row>
    <row r="76" spans="1:33" ht="23.25" customHeight="1">
      <c r="A76" s="104">
        <v>8</v>
      </c>
      <c r="B76" s="630" t="s">
        <v>178</v>
      </c>
      <c r="C76" s="647" t="s">
        <v>485</v>
      </c>
      <c r="D76" s="503"/>
      <c r="E76" s="504"/>
      <c r="F76" s="648"/>
      <c r="G76" s="504"/>
      <c r="H76" s="504"/>
      <c r="I76" s="579"/>
      <c r="J76" s="578"/>
      <c r="K76" s="631">
        <v>2</v>
      </c>
      <c r="L76" s="632"/>
      <c r="M76" s="632">
        <v>1</v>
      </c>
      <c r="N76" s="632"/>
      <c r="O76" s="632"/>
      <c r="P76" s="632" t="s">
        <v>81</v>
      </c>
      <c r="Q76" s="657">
        <v>3</v>
      </c>
      <c r="R76" s="628" t="s">
        <v>486</v>
      </c>
      <c r="S76" s="658"/>
      <c r="T76" s="909">
        <f t="shared" si="20"/>
        <v>0</v>
      </c>
      <c r="U76" s="909">
        <f t="shared" si="21"/>
        <v>28</v>
      </c>
      <c r="V76" s="909">
        <f t="shared" si="22"/>
        <v>0</v>
      </c>
      <c r="W76" s="909">
        <f t="shared" si="18"/>
        <v>14</v>
      </c>
      <c r="X76" s="910">
        <f t="shared" si="19"/>
        <v>42</v>
      </c>
      <c r="Z76" s="634"/>
      <c r="AF76" s="460"/>
      <c r="AG76" s="460"/>
    </row>
    <row r="77" spans="1:36" ht="9.75">
      <c r="A77" s="104">
        <v>9</v>
      </c>
      <c r="B77" s="626" t="s">
        <v>173</v>
      </c>
      <c r="C77" s="647" t="s">
        <v>485</v>
      </c>
      <c r="D77" s="503"/>
      <c r="E77" s="504"/>
      <c r="F77" s="648"/>
      <c r="G77" s="504"/>
      <c r="H77" s="504"/>
      <c r="I77" s="579"/>
      <c r="J77" s="578"/>
      <c r="K77" s="631">
        <v>2</v>
      </c>
      <c r="L77" s="632"/>
      <c r="M77" s="632">
        <v>2</v>
      </c>
      <c r="N77" s="591"/>
      <c r="O77" s="632"/>
      <c r="P77" s="632" t="s">
        <v>81</v>
      </c>
      <c r="Q77" s="657">
        <v>4</v>
      </c>
      <c r="R77" s="628" t="s">
        <v>404</v>
      </c>
      <c r="S77" s="463"/>
      <c r="T77" s="909">
        <f t="shared" si="20"/>
        <v>0</v>
      </c>
      <c r="U77" s="909">
        <f t="shared" si="21"/>
        <v>28</v>
      </c>
      <c r="V77" s="909">
        <f t="shared" si="22"/>
        <v>0</v>
      </c>
      <c r="W77" s="909">
        <f t="shared" si="18"/>
        <v>28</v>
      </c>
      <c r="X77" s="910">
        <f t="shared" si="19"/>
        <v>56</v>
      </c>
      <c r="Z77" s="634"/>
      <c r="AF77" s="460"/>
      <c r="AG77" s="460"/>
      <c r="AH77" s="460"/>
      <c r="AI77" s="460"/>
      <c r="AJ77" s="460"/>
    </row>
    <row r="78" spans="1:33" ht="9.75">
      <c r="A78" s="104">
        <v>10</v>
      </c>
      <c r="B78" s="626" t="s">
        <v>174</v>
      </c>
      <c r="C78" s="647" t="s">
        <v>487</v>
      </c>
      <c r="D78" s="503"/>
      <c r="E78" s="504"/>
      <c r="F78" s="648"/>
      <c r="G78" s="504"/>
      <c r="H78" s="504"/>
      <c r="I78" s="579"/>
      <c r="J78" s="578"/>
      <c r="K78" s="631"/>
      <c r="L78" s="632"/>
      <c r="M78" s="632"/>
      <c r="N78" s="632">
        <v>2</v>
      </c>
      <c r="O78" s="632"/>
      <c r="P78" s="632" t="s">
        <v>9</v>
      </c>
      <c r="Q78" s="657">
        <v>3</v>
      </c>
      <c r="R78" s="628" t="s">
        <v>404</v>
      </c>
      <c r="S78" s="463"/>
      <c r="T78" s="909">
        <f t="shared" si="20"/>
        <v>0</v>
      </c>
      <c r="U78" s="909">
        <f t="shared" si="21"/>
        <v>0</v>
      </c>
      <c r="V78" s="909">
        <f t="shared" si="22"/>
        <v>0</v>
      </c>
      <c r="W78" s="909">
        <f t="shared" si="18"/>
        <v>28</v>
      </c>
      <c r="X78" s="910">
        <f t="shared" si="19"/>
        <v>28</v>
      </c>
      <c r="Z78" s="634"/>
      <c r="AF78" s="460"/>
      <c r="AG78" s="460"/>
    </row>
    <row r="79" spans="1:33" ht="9.75">
      <c r="A79" s="104">
        <v>11</v>
      </c>
      <c r="B79" s="630" t="s">
        <v>175</v>
      </c>
      <c r="C79" s="647" t="s">
        <v>488</v>
      </c>
      <c r="D79" s="503"/>
      <c r="E79" s="504"/>
      <c r="F79" s="648"/>
      <c r="G79" s="504"/>
      <c r="H79" s="504"/>
      <c r="I79" s="579"/>
      <c r="J79" s="578"/>
      <c r="K79" s="631">
        <v>2</v>
      </c>
      <c r="L79" s="632"/>
      <c r="M79" s="632">
        <v>2</v>
      </c>
      <c r="N79" s="632"/>
      <c r="O79" s="632"/>
      <c r="P79" s="632" t="s">
        <v>81</v>
      </c>
      <c r="Q79" s="657">
        <v>4</v>
      </c>
      <c r="R79" s="628" t="s">
        <v>489</v>
      </c>
      <c r="S79" s="658"/>
      <c r="T79" s="909">
        <f t="shared" si="20"/>
        <v>0</v>
      </c>
      <c r="U79" s="909">
        <f t="shared" si="21"/>
        <v>28</v>
      </c>
      <c r="V79" s="909">
        <f t="shared" si="22"/>
        <v>0</v>
      </c>
      <c r="W79" s="909">
        <f t="shared" si="18"/>
        <v>28</v>
      </c>
      <c r="X79" s="910">
        <f t="shared" si="19"/>
        <v>56</v>
      </c>
      <c r="Z79" s="634"/>
      <c r="AA79" s="634"/>
      <c r="AF79" s="460"/>
      <c r="AG79" s="460"/>
    </row>
    <row r="80" spans="1:33" ht="9.75">
      <c r="A80" s="104">
        <v>12</v>
      </c>
      <c r="B80" s="651" t="s">
        <v>256</v>
      </c>
      <c r="C80" s="652" t="s">
        <v>484</v>
      </c>
      <c r="D80" s="653"/>
      <c r="E80" s="654"/>
      <c r="F80" s="655"/>
      <c r="G80" s="654"/>
      <c r="H80" s="654"/>
      <c r="I80" s="656"/>
      <c r="J80" s="578"/>
      <c r="K80" s="102"/>
      <c r="L80" s="86"/>
      <c r="M80" s="86"/>
      <c r="N80" s="86"/>
      <c r="O80" s="86"/>
      <c r="P80" s="656" t="s">
        <v>9</v>
      </c>
      <c r="Q80" s="578">
        <v>3</v>
      </c>
      <c r="R80" s="562"/>
      <c r="T80" s="909">
        <f>14*D80</f>
        <v>0</v>
      </c>
      <c r="U80" s="909">
        <f>14*K80</f>
        <v>0</v>
      </c>
      <c r="V80" s="909">
        <f t="shared" si="22"/>
        <v>0</v>
      </c>
      <c r="W80" s="909">
        <f>14*(SUM(L80:N80))</f>
        <v>0</v>
      </c>
      <c r="X80" s="910">
        <f t="shared" si="19"/>
        <v>0</v>
      </c>
      <c r="Z80" s="634"/>
      <c r="AB80" s="634"/>
      <c r="AC80" s="634"/>
      <c r="AD80" s="634"/>
      <c r="AE80" s="634"/>
      <c r="AF80" s="460"/>
      <c r="AG80" s="460"/>
    </row>
    <row r="81" spans="1:33" ht="9.75">
      <c r="A81" s="104">
        <v>13</v>
      </c>
      <c r="B81" s="651" t="s">
        <v>520</v>
      </c>
      <c r="C81" s="652" t="s">
        <v>490</v>
      </c>
      <c r="D81" s="653"/>
      <c r="E81" s="654"/>
      <c r="F81" s="655"/>
      <c r="G81" s="654"/>
      <c r="H81" s="654"/>
      <c r="I81" s="654"/>
      <c r="J81" s="659"/>
      <c r="K81" s="660"/>
      <c r="L81" s="661"/>
      <c r="M81" s="661"/>
      <c r="N81" s="661">
        <v>4</v>
      </c>
      <c r="O81" s="661"/>
      <c r="P81" s="661" t="s">
        <v>9</v>
      </c>
      <c r="Q81" s="657">
        <v>4</v>
      </c>
      <c r="R81" s="662"/>
      <c r="S81" s="658"/>
      <c r="T81" s="909">
        <f t="shared" si="20"/>
        <v>0</v>
      </c>
      <c r="U81" s="909">
        <f t="shared" si="21"/>
        <v>0</v>
      </c>
      <c r="V81" s="909">
        <f t="shared" si="22"/>
        <v>0</v>
      </c>
      <c r="W81" s="909">
        <f t="shared" si="18"/>
        <v>56</v>
      </c>
      <c r="X81" s="910">
        <f t="shared" si="19"/>
        <v>56</v>
      </c>
      <c r="Z81" s="634"/>
      <c r="AA81" s="634"/>
      <c r="AF81" s="460"/>
      <c r="AG81" s="460"/>
    </row>
    <row r="82" spans="1:33" ht="10.5" thickBot="1">
      <c r="A82" s="663">
        <v>14</v>
      </c>
      <c r="B82" s="664" t="s">
        <v>491</v>
      </c>
      <c r="C82" s="665" t="s">
        <v>492</v>
      </c>
      <c r="D82" s="666"/>
      <c r="E82" s="667"/>
      <c r="F82" s="668"/>
      <c r="G82" s="667"/>
      <c r="H82" s="667"/>
      <c r="I82" s="669"/>
      <c r="J82" s="670"/>
      <c r="K82" s="671"/>
      <c r="L82" s="672"/>
      <c r="M82" s="672"/>
      <c r="N82" s="672"/>
      <c r="O82" s="672"/>
      <c r="P82" s="672"/>
      <c r="Q82" s="673" t="s">
        <v>493</v>
      </c>
      <c r="R82" s="628"/>
      <c r="S82" s="463"/>
      <c r="T82" s="909">
        <f t="shared" si="20"/>
        <v>0</v>
      </c>
      <c r="U82" s="909">
        <f t="shared" si="21"/>
        <v>0</v>
      </c>
      <c r="V82" s="909">
        <f t="shared" si="22"/>
        <v>0</v>
      </c>
      <c r="W82" s="909">
        <f t="shared" si="18"/>
        <v>0</v>
      </c>
      <c r="X82" s="910">
        <f>SUM(T81:W81)</f>
        <v>56</v>
      </c>
      <c r="Z82" s="634"/>
      <c r="AA82" s="634"/>
      <c r="AF82" s="460"/>
      <c r="AG82" s="460"/>
    </row>
    <row r="83" spans="1:33" ht="9.75">
      <c r="A83" s="607"/>
      <c r="B83" s="459"/>
      <c r="C83" s="567"/>
      <c r="D83" s="528">
        <f>SUM(D70:D82)</f>
        <v>10</v>
      </c>
      <c r="E83" s="528">
        <f>SUM(E70:E82)</f>
        <v>1</v>
      </c>
      <c r="F83" s="528">
        <f>SUM(F70:F82)</f>
        <v>2</v>
      </c>
      <c r="G83" s="528">
        <f>SUM(G70:G82)</f>
        <v>4</v>
      </c>
      <c r="H83" s="528">
        <f>SUM(H70:H82)</f>
        <v>0</v>
      </c>
      <c r="I83" s="674"/>
      <c r="J83" s="675">
        <f aca="true" t="shared" si="23" ref="J83:O83">SUM(J70:J82)</f>
        <v>21</v>
      </c>
      <c r="K83" s="610">
        <f t="shared" si="23"/>
        <v>6</v>
      </c>
      <c r="L83" s="528">
        <f t="shared" si="23"/>
        <v>0</v>
      </c>
      <c r="M83" s="528">
        <f t="shared" si="23"/>
        <v>5</v>
      </c>
      <c r="N83" s="528">
        <f t="shared" si="23"/>
        <v>6</v>
      </c>
      <c r="O83" s="460">
        <f t="shared" si="23"/>
        <v>0</v>
      </c>
      <c r="P83" s="618"/>
      <c r="Q83" s="676">
        <f>SUM(Q70:Q82)</f>
        <v>21</v>
      </c>
      <c r="S83" s="618"/>
      <c r="T83" s="911">
        <f>SUM(T70:T82)</f>
        <v>140</v>
      </c>
      <c r="U83" s="911">
        <f>SUM(U70:U82)</f>
        <v>84</v>
      </c>
      <c r="V83" s="911">
        <f>SUM(V70:V82)</f>
        <v>98</v>
      </c>
      <c r="W83" s="911">
        <f>SUM(W70:W82)</f>
        <v>154</v>
      </c>
      <c r="X83" s="911">
        <f>SUM(X70:X82)</f>
        <v>532</v>
      </c>
      <c r="Z83" s="634"/>
      <c r="AF83" s="460"/>
      <c r="AG83" s="460"/>
    </row>
    <row r="84" spans="1:33" ht="9.75">
      <c r="A84" s="473"/>
      <c r="B84" s="618"/>
      <c r="C84" s="677"/>
      <c r="D84" s="678">
        <f>SUM(D83:G83)</f>
        <v>17</v>
      </c>
      <c r="E84" s="519"/>
      <c r="F84" s="679"/>
      <c r="G84" s="519"/>
      <c r="H84" s="473">
        <f>H83+H107</f>
        <v>0</v>
      </c>
      <c r="I84" s="680">
        <f>COUNTIF(I70:I82,"E")</f>
        <v>4</v>
      </c>
      <c r="J84" s="537" t="s">
        <v>81</v>
      </c>
      <c r="K84" s="681">
        <f>SUM(K83:N83)</f>
        <v>17</v>
      </c>
      <c r="L84" s="682"/>
      <c r="M84" s="682"/>
      <c r="N84" s="682"/>
      <c r="O84" s="459">
        <f>O83+O107</f>
        <v>0</v>
      </c>
      <c r="P84" s="543">
        <f>COUNTIF(P70:P82,"E")</f>
        <v>3</v>
      </c>
      <c r="Q84" s="537" t="s">
        <v>81</v>
      </c>
      <c r="S84" s="618"/>
      <c r="T84" s="922">
        <f>14*D83</f>
        <v>140</v>
      </c>
      <c r="U84" s="922">
        <f>14*K83</f>
        <v>84</v>
      </c>
      <c r="V84" s="922">
        <f>14*(E83+F83+G83)</f>
        <v>98</v>
      </c>
      <c r="W84" s="922">
        <f>14*(L83+M83+N83)</f>
        <v>154</v>
      </c>
      <c r="X84" s="922">
        <f>SUM(T84:W84)</f>
        <v>476</v>
      </c>
      <c r="Y84" s="1275" t="s">
        <v>390</v>
      </c>
      <c r="Z84" s="1276"/>
      <c r="AF84" s="460"/>
      <c r="AG84" s="460"/>
    </row>
    <row r="85" spans="4:33" ht="9.75">
      <c r="D85" s="535">
        <f>SUM(D84+D108)</f>
        <v>26</v>
      </c>
      <c r="G85" s="459"/>
      <c r="I85" s="680">
        <f>COUNTIF(I70:I82,"C")</f>
        <v>2</v>
      </c>
      <c r="J85" s="537" t="s">
        <v>9</v>
      </c>
      <c r="K85" s="538">
        <f>SUM(K84+K108)</f>
        <v>26</v>
      </c>
      <c r="P85" s="543">
        <f>COUNTIF(P70:P82,"C")</f>
        <v>3</v>
      </c>
      <c r="Q85" s="537" t="s">
        <v>9</v>
      </c>
      <c r="S85" s="618"/>
      <c r="T85" s="918"/>
      <c r="Y85" s="474"/>
      <c r="Z85" s="634"/>
      <c r="AF85" s="460"/>
      <c r="AG85" s="460"/>
    </row>
    <row r="86" spans="9:33" ht="9.75">
      <c r="I86" s="545"/>
      <c r="J86" s="537"/>
      <c r="K86" s="459"/>
      <c r="P86" s="543"/>
      <c r="Q86" s="537"/>
      <c r="T86" s="918"/>
      <c r="Y86" s="474"/>
      <c r="AF86" s="460"/>
      <c r="AG86" s="460"/>
    </row>
    <row r="87" spans="2:48" ht="9.75">
      <c r="B87" s="634" t="s">
        <v>494</v>
      </c>
      <c r="J87" s="634">
        <f>SUM(J83+J107)</f>
        <v>30</v>
      </c>
      <c r="Q87" s="634">
        <f>SUM(Q83+Q107)</f>
        <v>30</v>
      </c>
      <c r="T87" s="918"/>
      <c r="Y87" s="474"/>
      <c r="AF87" s="460"/>
      <c r="AG87" s="460"/>
      <c r="AR87" s="567"/>
      <c r="AS87" s="473"/>
      <c r="AT87" s="473"/>
      <c r="AU87" s="505"/>
      <c r="AV87" s="473"/>
    </row>
    <row r="88" spans="2:48" ht="10.5" thickBot="1">
      <c r="B88" s="550"/>
      <c r="C88" s="550"/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550"/>
      <c r="O88" s="550"/>
      <c r="P88" s="550"/>
      <c r="Q88" s="550"/>
      <c r="T88" s="918"/>
      <c r="Y88" s="474"/>
      <c r="AF88" s="460"/>
      <c r="AG88" s="460"/>
      <c r="AR88" s="567"/>
      <c r="AS88" s="473"/>
      <c r="AT88" s="473"/>
      <c r="AU88" s="505"/>
      <c r="AV88" s="473"/>
    </row>
    <row r="89" spans="1:48" ht="9.75">
      <c r="A89" s="683">
        <v>17</v>
      </c>
      <c r="B89" s="684" t="s">
        <v>126</v>
      </c>
      <c r="C89" s="685" t="s">
        <v>495</v>
      </c>
      <c r="D89" s="1277">
        <v>2</v>
      </c>
      <c r="E89" s="1279"/>
      <c r="F89" s="1279">
        <v>1</v>
      </c>
      <c r="G89" s="1279"/>
      <c r="H89" s="1279"/>
      <c r="I89" s="1280" t="s">
        <v>81</v>
      </c>
      <c r="J89" s="1272">
        <v>4</v>
      </c>
      <c r="K89" s="688"/>
      <c r="L89" s="686"/>
      <c r="M89" s="686"/>
      <c r="N89" s="686"/>
      <c r="O89" s="686"/>
      <c r="P89" s="686"/>
      <c r="Q89" s="687"/>
      <c r="R89" s="689" t="s">
        <v>496</v>
      </c>
      <c r="S89" s="464"/>
      <c r="T89" s="909">
        <f>14*D89</f>
        <v>28</v>
      </c>
      <c r="U89" s="909">
        <f>14*K89</f>
        <v>0</v>
      </c>
      <c r="V89" s="909">
        <f>14*(SUM(E89:G89))</f>
        <v>14</v>
      </c>
      <c r="W89" s="909">
        <f>14*(SUM(L89:N89))</f>
        <v>0</v>
      </c>
      <c r="X89" s="910">
        <f>SUM(T89:W89)</f>
        <v>42</v>
      </c>
      <c r="AF89" s="460"/>
      <c r="AG89" s="460"/>
      <c r="AR89" s="567"/>
      <c r="AS89" s="473"/>
      <c r="AT89" s="473"/>
      <c r="AU89" s="505"/>
      <c r="AV89" s="473"/>
    </row>
    <row r="90" spans="1:48" ht="9.75">
      <c r="A90" s="457">
        <v>18</v>
      </c>
      <c r="B90" s="690" t="s">
        <v>179</v>
      </c>
      <c r="C90" s="691" t="s">
        <v>497</v>
      </c>
      <c r="D90" s="1278"/>
      <c r="E90" s="1268"/>
      <c r="F90" s="1268"/>
      <c r="G90" s="1268"/>
      <c r="H90" s="1268"/>
      <c r="I90" s="1281"/>
      <c r="J90" s="1273"/>
      <c r="K90" s="696"/>
      <c r="L90" s="693"/>
      <c r="M90" s="693"/>
      <c r="N90" s="693"/>
      <c r="O90" s="693"/>
      <c r="P90" s="693"/>
      <c r="Q90" s="695"/>
      <c r="R90" s="689" t="s">
        <v>496</v>
      </c>
      <c r="S90" s="464"/>
      <c r="T90" s="909">
        <f>14*D90</f>
        <v>0</v>
      </c>
      <c r="U90" s="909">
        <f>14*K90</f>
        <v>0</v>
      </c>
      <c r="V90" s="909">
        <f>14*(SUM(E90:G90))</f>
        <v>0</v>
      </c>
      <c r="W90" s="909">
        <f>14*(SUM(L90:N90))</f>
        <v>0</v>
      </c>
      <c r="X90" s="910">
        <f>SUM(T90:W90)</f>
        <v>0</v>
      </c>
      <c r="Y90" s="474"/>
      <c r="AF90" s="460"/>
      <c r="AR90" s="567"/>
      <c r="AS90" s="473"/>
      <c r="AT90" s="473"/>
      <c r="AU90" s="505"/>
      <c r="AV90" s="473"/>
    </row>
    <row r="91" spans="1:48" ht="9.75">
      <c r="A91" s="457">
        <v>19</v>
      </c>
      <c r="B91" s="697" t="s">
        <v>111</v>
      </c>
      <c r="C91" s="691" t="s">
        <v>498</v>
      </c>
      <c r="D91" s="692"/>
      <c r="E91" s="693"/>
      <c r="F91" s="693"/>
      <c r="G91" s="693"/>
      <c r="H91" s="693"/>
      <c r="I91" s="694"/>
      <c r="J91" s="695"/>
      <c r="K91" s="1264">
        <v>2</v>
      </c>
      <c r="L91" s="1268"/>
      <c r="M91" s="1260">
        <v>1</v>
      </c>
      <c r="N91" s="1268">
        <v>1</v>
      </c>
      <c r="O91" s="1260"/>
      <c r="P91" s="1260" t="s">
        <v>81</v>
      </c>
      <c r="Q91" s="657">
        <v>4</v>
      </c>
      <c r="R91" s="628" t="s">
        <v>411</v>
      </c>
      <c r="S91" s="463"/>
      <c r="T91" s="909">
        <f>14*D91</f>
        <v>0</v>
      </c>
      <c r="U91" s="909">
        <f>14*K91</f>
        <v>28</v>
      </c>
      <c r="V91" s="909">
        <f>14*(SUM(E91:G91))</f>
        <v>0</v>
      </c>
      <c r="W91" s="909">
        <f>14*(SUM(L91:N91))</f>
        <v>28</v>
      </c>
      <c r="X91" s="910">
        <f>SUM(T91:W91)</f>
        <v>56</v>
      </c>
      <c r="Y91" s="474"/>
      <c r="AR91" s="567"/>
      <c r="AS91" s="473"/>
      <c r="AT91" s="473"/>
      <c r="AU91" s="505"/>
      <c r="AV91" s="473"/>
    </row>
    <row r="92" spans="1:48" ht="10.5" thickBot="1">
      <c r="A92" s="698">
        <v>20</v>
      </c>
      <c r="B92" s="699" t="s">
        <v>177</v>
      </c>
      <c r="C92" s="700" t="s">
        <v>499</v>
      </c>
      <c r="D92" s="701"/>
      <c r="E92" s="702"/>
      <c r="F92" s="702"/>
      <c r="G92" s="702"/>
      <c r="H92" s="702"/>
      <c r="I92" s="703"/>
      <c r="J92" s="704"/>
      <c r="K92" s="1267"/>
      <c r="L92" s="1269"/>
      <c r="M92" s="1262"/>
      <c r="N92" s="1269"/>
      <c r="O92" s="1262"/>
      <c r="P92" s="1262"/>
      <c r="Q92" s="705"/>
      <c r="R92" s="628" t="s">
        <v>411</v>
      </c>
      <c r="S92" s="463"/>
      <c r="T92" s="909">
        <f>14*D92</f>
        <v>0</v>
      </c>
      <c r="U92" s="909">
        <f>14*K92</f>
        <v>0</v>
      </c>
      <c r="V92" s="909">
        <f>14*(SUM(E92:G92))</f>
        <v>0</v>
      </c>
      <c r="W92" s="909">
        <f>14*(SUM(L92:N92))</f>
        <v>0</v>
      </c>
      <c r="X92" s="910">
        <f>SUM(T92:W92)</f>
        <v>0</v>
      </c>
      <c r="Y92" s="474"/>
      <c r="AF92" s="460"/>
      <c r="AG92" s="460"/>
      <c r="AK92" s="460"/>
      <c r="AL92" s="460"/>
      <c r="AM92" s="460"/>
      <c r="AN92" s="460"/>
      <c r="AR92" s="567"/>
      <c r="AS92" s="473"/>
      <c r="AT92" s="473"/>
      <c r="AU92" s="505"/>
      <c r="AV92" s="473"/>
    </row>
    <row r="93" spans="4:48" ht="9.75">
      <c r="D93" s="528">
        <f>SUM(D89:D92)</f>
        <v>2</v>
      </c>
      <c r="E93" s="528">
        <f>SUM(E89:E92)</f>
        <v>0</v>
      </c>
      <c r="F93" s="528">
        <f>SUM(F89:F92)</f>
        <v>1</v>
      </c>
      <c r="G93" s="706">
        <f>SUM(G89:G92)</f>
        <v>0</v>
      </c>
      <c r="H93" s="528">
        <f>SUM(H89:H92)</f>
        <v>0</v>
      </c>
      <c r="I93" s="674"/>
      <c r="J93" s="675">
        <f aca="true" t="shared" si="24" ref="J93:O93">SUM(J89:J92)</f>
        <v>4</v>
      </c>
      <c r="K93" s="610">
        <f t="shared" si="24"/>
        <v>2</v>
      </c>
      <c r="L93" s="528">
        <f t="shared" si="24"/>
        <v>0</v>
      </c>
      <c r="M93" s="528">
        <f t="shared" si="24"/>
        <v>1</v>
      </c>
      <c r="N93" s="528">
        <f t="shared" si="24"/>
        <v>1</v>
      </c>
      <c r="O93" s="459">
        <f t="shared" si="24"/>
        <v>0</v>
      </c>
      <c r="Q93" s="707">
        <f>SUM(Q89:Q92)</f>
        <v>4</v>
      </c>
      <c r="T93" s="923">
        <f>SUM(T89:T92)</f>
        <v>28</v>
      </c>
      <c r="U93" s="923">
        <f>SUM(U89:U92)</f>
        <v>28</v>
      </c>
      <c r="V93" s="923">
        <f>SUM(V89:V92)</f>
        <v>14</v>
      </c>
      <c r="W93" s="923">
        <f>SUM(W89:W92)</f>
        <v>28</v>
      </c>
      <c r="X93" s="923">
        <f>SUM(X89:X92)</f>
        <v>98</v>
      </c>
      <c r="Y93" s="474"/>
      <c r="AR93" s="567"/>
      <c r="AS93" s="473"/>
      <c r="AT93" s="473"/>
      <c r="AU93" s="505"/>
      <c r="AV93" s="473"/>
    </row>
    <row r="94" spans="3:48" ht="9.75">
      <c r="C94" s="459"/>
      <c r="D94" s="708">
        <f>SUM(D93:G93)</f>
        <v>3</v>
      </c>
      <c r="G94" s="459"/>
      <c r="I94" s="543">
        <f>COUNTIF(I89:I92,"E")</f>
        <v>1</v>
      </c>
      <c r="J94" s="537" t="s">
        <v>81</v>
      </c>
      <c r="K94" s="709">
        <f>SUM(K93:N93)</f>
        <v>4</v>
      </c>
      <c r="L94" s="710"/>
      <c r="P94" s="543">
        <f>COUNTIF(P89:P92,"E")</f>
        <v>1</v>
      </c>
      <c r="Q94" s="537" t="s">
        <v>81</v>
      </c>
      <c r="T94" s="922">
        <f>14*D93</f>
        <v>28</v>
      </c>
      <c r="U94" s="922">
        <f>14*K93</f>
        <v>28</v>
      </c>
      <c r="V94" s="922">
        <f>14*(E93+F93+G93)</f>
        <v>14</v>
      </c>
      <c r="W94" s="922">
        <f>14*(L93+M93+N93)</f>
        <v>28</v>
      </c>
      <c r="X94" s="922">
        <f>SUM(T94:W94)</f>
        <v>98</v>
      </c>
      <c r="Y94" s="474"/>
      <c r="AR94" s="567"/>
      <c r="AS94" s="473"/>
      <c r="AT94" s="473"/>
      <c r="AU94" s="505"/>
      <c r="AV94" s="473"/>
    </row>
    <row r="95" spans="3:48" ht="9.75">
      <c r="C95" s="459"/>
      <c r="D95" s="459"/>
      <c r="E95" s="459"/>
      <c r="F95" s="459"/>
      <c r="G95" s="459"/>
      <c r="I95" s="543">
        <f>COUNTIF(I89:I93,"C")</f>
        <v>0</v>
      </c>
      <c r="J95" s="537" t="s">
        <v>9</v>
      </c>
      <c r="K95" s="459"/>
      <c r="P95" s="543">
        <f>COUNTIF(P89:P92,"C")</f>
        <v>0</v>
      </c>
      <c r="Q95" s="537" t="s">
        <v>9</v>
      </c>
      <c r="Y95" s="474"/>
      <c r="AR95" s="567"/>
      <c r="AS95" s="473"/>
      <c r="AT95" s="473"/>
      <c r="AU95" s="505"/>
      <c r="AV95" s="473"/>
    </row>
    <row r="96" spans="1:48" ht="10.5" thickBot="1">
      <c r="A96" s="550"/>
      <c r="B96" s="551" t="s">
        <v>500</v>
      </c>
      <c r="C96" s="550"/>
      <c r="D96" s="550"/>
      <c r="E96" s="550"/>
      <c r="F96" s="550"/>
      <c r="G96" s="550"/>
      <c r="H96" s="550"/>
      <c r="I96" s="550"/>
      <c r="J96" s="550"/>
      <c r="K96" s="550"/>
      <c r="L96" s="550"/>
      <c r="M96" s="550"/>
      <c r="N96" s="550"/>
      <c r="O96" s="550"/>
      <c r="P96" s="550"/>
      <c r="Q96" s="550"/>
      <c r="Y96" s="474"/>
      <c r="AR96" s="567"/>
      <c r="AS96" s="473"/>
      <c r="AT96" s="473"/>
      <c r="AU96" s="505"/>
      <c r="AV96" s="473"/>
    </row>
    <row r="97" spans="1:48" ht="9.75">
      <c r="A97" s="456">
        <v>15</v>
      </c>
      <c r="B97" s="711" t="s">
        <v>154</v>
      </c>
      <c r="C97" s="712" t="s">
        <v>501</v>
      </c>
      <c r="D97" s="1265">
        <v>2</v>
      </c>
      <c r="E97" s="1266">
        <v>1</v>
      </c>
      <c r="F97" s="1266"/>
      <c r="G97" s="1266">
        <v>2</v>
      </c>
      <c r="H97" s="1266"/>
      <c r="I97" s="1270" t="s">
        <v>81</v>
      </c>
      <c r="J97" s="1271">
        <v>5</v>
      </c>
      <c r="K97" s="1265"/>
      <c r="L97" s="1266"/>
      <c r="M97" s="1266"/>
      <c r="N97" s="1266"/>
      <c r="O97" s="1266"/>
      <c r="P97" s="1266"/>
      <c r="Q97" s="1271"/>
      <c r="R97" s="628" t="s">
        <v>502</v>
      </c>
      <c r="S97" s="463"/>
      <c r="T97" s="909">
        <f aca="true" t="shared" si="25" ref="T97:T106">14*D97</f>
        <v>28</v>
      </c>
      <c r="U97" s="909">
        <f aca="true" t="shared" si="26" ref="U97:U106">14*K97</f>
        <v>0</v>
      </c>
      <c r="V97" s="909">
        <f aca="true" t="shared" si="27" ref="V97:V106">14*(SUM(E97:G97))</f>
        <v>42</v>
      </c>
      <c r="W97" s="909">
        <f aca="true" t="shared" si="28" ref="W97:W106">14*(SUM(L97:N97))</f>
        <v>0</v>
      </c>
      <c r="X97" s="910">
        <f aca="true" t="shared" si="29" ref="X97:X106">SUM(T97:W97)</f>
        <v>70</v>
      </c>
      <c r="Y97" s="474"/>
      <c r="AO97" s="460"/>
      <c r="AP97" s="460"/>
      <c r="AR97" s="567"/>
      <c r="AS97" s="473"/>
      <c r="AT97" s="473"/>
      <c r="AU97" s="505"/>
      <c r="AV97" s="473"/>
    </row>
    <row r="98" spans="1:48" ht="9.75">
      <c r="A98" s="457">
        <v>16</v>
      </c>
      <c r="B98" s="713" t="s">
        <v>155</v>
      </c>
      <c r="C98" s="714" t="s">
        <v>503</v>
      </c>
      <c r="D98" s="1264"/>
      <c r="E98" s="1260"/>
      <c r="F98" s="1260"/>
      <c r="G98" s="1260"/>
      <c r="H98" s="1260"/>
      <c r="I98" s="1263"/>
      <c r="J98" s="1259"/>
      <c r="K98" s="1264"/>
      <c r="L98" s="1260"/>
      <c r="M98" s="1260"/>
      <c r="N98" s="1260"/>
      <c r="O98" s="1260"/>
      <c r="P98" s="1260"/>
      <c r="Q98" s="1259"/>
      <c r="R98" s="628" t="s">
        <v>502</v>
      </c>
      <c r="S98" s="463"/>
      <c r="T98" s="909">
        <f t="shared" si="25"/>
        <v>0</v>
      </c>
      <c r="U98" s="909">
        <f t="shared" si="26"/>
        <v>0</v>
      </c>
      <c r="V98" s="909">
        <f t="shared" si="27"/>
        <v>0</v>
      </c>
      <c r="W98" s="909">
        <f t="shared" si="28"/>
        <v>0</v>
      </c>
      <c r="X98" s="910">
        <f t="shared" si="29"/>
        <v>0</v>
      </c>
      <c r="Y98" s="474"/>
      <c r="AR98" s="567"/>
      <c r="AS98" s="473"/>
      <c r="AT98" s="473"/>
      <c r="AU98" s="505"/>
      <c r="AV98" s="473"/>
    </row>
    <row r="99" spans="1:48" ht="9.75">
      <c r="A99" s="106">
        <v>17</v>
      </c>
      <c r="B99" s="715" t="s">
        <v>156</v>
      </c>
      <c r="C99" s="716" t="s">
        <v>504</v>
      </c>
      <c r="D99" s="1264">
        <v>2</v>
      </c>
      <c r="E99" s="1260"/>
      <c r="F99" s="1260"/>
      <c r="G99" s="1260">
        <v>2</v>
      </c>
      <c r="H99" s="1260"/>
      <c r="I99" s="1263" t="s">
        <v>9</v>
      </c>
      <c r="J99" s="1258">
        <v>4</v>
      </c>
      <c r="K99" s="1264"/>
      <c r="L99" s="1260"/>
      <c r="M99" s="1260"/>
      <c r="N99" s="1260"/>
      <c r="O99" s="1260"/>
      <c r="P99" s="1260"/>
      <c r="Q99" s="1258"/>
      <c r="R99" s="628" t="s">
        <v>449</v>
      </c>
      <c r="S99" s="463"/>
      <c r="T99" s="909">
        <f t="shared" si="25"/>
        <v>28</v>
      </c>
      <c r="U99" s="909">
        <f t="shared" si="26"/>
        <v>0</v>
      </c>
      <c r="V99" s="909">
        <f t="shared" si="27"/>
        <v>28</v>
      </c>
      <c r="W99" s="909">
        <f t="shared" si="28"/>
        <v>0</v>
      </c>
      <c r="X99" s="910">
        <f t="shared" si="29"/>
        <v>56</v>
      </c>
      <c r="Y99" s="474"/>
      <c r="AR99" s="567"/>
      <c r="AS99" s="473"/>
      <c r="AT99" s="473"/>
      <c r="AU99" s="505"/>
      <c r="AV99" s="473"/>
    </row>
    <row r="100" spans="1:48" ht="9.75">
      <c r="A100" s="106">
        <v>18</v>
      </c>
      <c r="B100" s="715" t="s">
        <v>157</v>
      </c>
      <c r="C100" s="716" t="s">
        <v>505</v>
      </c>
      <c r="D100" s="1264"/>
      <c r="E100" s="1260"/>
      <c r="F100" s="1260"/>
      <c r="G100" s="1260"/>
      <c r="H100" s="1260"/>
      <c r="I100" s="1263"/>
      <c r="J100" s="1259"/>
      <c r="K100" s="1264"/>
      <c r="L100" s="1260"/>
      <c r="M100" s="1260"/>
      <c r="N100" s="1260"/>
      <c r="O100" s="1260"/>
      <c r="P100" s="1260"/>
      <c r="Q100" s="1259"/>
      <c r="R100" s="628" t="s">
        <v>449</v>
      </c>
      <c r="S100" s="463"/>
      <c r="T100" s="909">
        <f t="shared" si="25"/>
        <v>0</v>
      </c>
      <c r="U100" s="909">
        <f t="shared" si="26"/>
        <v>0</v>
      </c>
      <c r="V100" s="909">
        <f t="shared" si="27"/>
        <v>0</v>
      </c>
      <c r="W100" s="909">
        <f t="shared" si="28"/>
        <v>0</v>
      </c>
      <c r="X100" s="910">
        <f t="shared" si="29"/>
        <v>0</v>
      </c>
      <c r="Y100" s="474"/>
      <c r="AB100" s="634"/>
      <c r="AC100" s="634"/>
      <c r="AD100" s="634"/>
      <c r="AE100" s="634"/>
      <c r="AR100" s="567"/>
      <c r="AS100" s="473"/>
      <c r="AT100" s="473"/>
      <c r="AU100" s="505"/>
      <c r="AV100" s="473"/>
    </row>
    <row r="101" spans="1:48" ht="9.75">
      <c r="A101" s="106">
        <v>19</v>
      </c>
      <c r="B101" s="502" t="s">
        <v>521</v>
      </c>
      <c r="C101" s="716" t="s">
        <v>506</v>
      </c>
      <c r="D101" s="1254"/>
      <c r="E101" s="1256"/>
      <c r="F101" s="1256"/>
      <c r="G101" s="1256"/>
      <c r="H101" s="1256"/>
      <c r="I101" s="1256"/>
      <c r="J101" s="1258"/>
      <c r="K101" s="1264">
        <v>2</v>
      </c>
      <c r="L101" s="1260"/>
      <c r="M101" s="1260">
        <v>1</v>
      </c>
      <c r="N101" s="1260"/>
      <c r="O101" s="1260"/>
      <c r="P101" s="1260" t="s">
        <v>81</v>
      </c>
      <c r="Q101" s="1258">
        <v>3</v>
      </c>
      <c r="R101" s="562" t="s">
        <v>475</v>
      </c>
      <c r="S101" s="463"/>
      <c r="T101" s="909">
        <f t="shared" si="25"/>
        <v>0</v>
      </c>
      <c r="U101" s="909">
        <f t="shared" si="26"/>
        <v>28</v>
      </c>
      <c r="V101" s="909">
        <f t="shared" si="27"/>
        <v>0</v>
      </c>
      <c r="W101" s="909">
        <f t="shared" si="28"/>
        <v>14</v>
      </c>
      <c r="X101" s="910">
        <f t="shared" si="29"/>
        <v>42</v>
      </c>
      <c r="Y101" s="474"/>
      <c r="AR101" s="567"/>
      <c r="AS101" s="473"/>
      <c r="AT101" s="473"/>
      <c r="AU101" s="505"/>
      <c r="AV101" s="473"/>
    </row>
    <row r="102" spans="1:48" ht="9.75">
      <c r="A102" s="106">
        <v>20</v>
      </c>
      <c r="B102" s="502" t="s">
        <v>280</v>
      </c>
      <c r="C102" s="716" t="s">
        <v>507</v>
      </c>
      <c r="D102" s="1265"/>
      <c r="E102" s="1266"/>
      <c r="F102" s="1266"/>
      <c r="G102" s="1266"/>
      <c r="H102" s="1266"/>
      <c r="I102" s="1266"/>
      <c r="J102" s="1259"/>
      <c r="K102" s="1264"/>
      <c r="L102" s="1260"/>
      <c r="M102" s="1260"/>
      <c r="N102" s="1260"/>
      <c r="O102" s="1260"/>
      <c r="P102" s="1260"/>
      <c r="Q102" s="1259"/>
      <c r="R102" s="562" t="s">
        <v>475</v>
      </c>
      <c r="S102" s="463"/>
      <c r="T102" s="909">
        <f t="shared" si="25"/>
        <v>0</v>
      </c>
      <c r="U102" s="909">
        <f t="shared" si="26"/>
        <v>0</v>
      </c>
      <c r="V102" s="909">
        <f t="shared" si="27"/>
        <v>0</v>
      </c>
      <c r="W102" s="909">
        <f t="shared" si="28"/>
        <v>0</v>
      </c>
      <c r="X102" s="910">
        <f t="shared" si="29"/>
        <v>0</v>
      </c>
      <c r="Y102" s="526"/>
      <c r="AR102" s="567"/>
      <c r="AS102" s="473"/>
      <c r="AT102" s="473"/>
      <c r="AU102" s="505"/>
      <c r="AV102" s="473"/>
    </row>
    <row r="103" spans="1:48" ht="9.75">
      <c r="A103" s="106">
        <v>21</v>
      </c>
      <c r="B103" s="502" t="s">
        <v>158</v>
      </c>
      <c r="C103" s="716" t="s">
        <v>508</v>
      </c>
      <c r="D103" s="1254"/>
      <c r="E103" s="1256"/>
      <c r="F103" s="1256"/>
      <c r="G103" s="1256"/>
      <c r="H103" s="1256"/>
      <c r="I103" s="1256"/>
      <c r="J103" s="1258"/>
      <c r="K103" s="1264">
        <v>2</v>
      </c>
      <c r="L103" s="1260">
        <v>1</v>
      </c>
      <c r="M103" s="1260"/>
      <c r="N103" s="1260"/>
      <c r="O103" s="1260"/>
      <c r="P103" s="1260" t="s">
        <v>9</v>
      </c>
      <c r="Q103" s="1258">
        <v>3</v>
      </c>
      <c r="R103" s="628" t="s">
        <v>437</v>
      </c>
      <c r="S103" s="463"/>
      <c r="T103" s="909">
        <f t="shared" si="25"/>
        <v>0</v>
      </c>
      <c r="U103" s="909">
        <f t="shared" si="26"/>
        <v>28</v>
      </c>
      <c r="V103" s="909">
        <f t="shared" si="27"/>
        <v>0</v>
      </c>
      <c r="W103" s="909">
        <f t="shared" si="28"/>
        <v>14</v>
      </c>
      <c r="X103" s="910">
        <f t="shared" si="29"/>
        <v>42</v>
      </c>
      <c r="AR103" s="567"/>
      <c r="AS103" s="473"/>
      <c r="AT103" s="473"/>
      <c r="AU103" s="505"/>
      <c r="AV103" s="473"/>
    </row>
    <row r="104" spans="1:48" ht="9.75">
      <c r="A104" s="106">
        <v>22</v>
      </c>
      <c r="B104" s="502" t="s">
        <v>160</v>
      </c>
      <c r="C104" s="716" t="s">
        <v>509</v>
      </c>
      <c r="D104" s="1265"/>
      <c r="E104" s="1266"/>
      <c r="F104" s="1266"/>
      <c r="G104" s="1266"/>
      <c r="H104" s="1266"/>
      <c r="I104" s="1266"/>
      <c r="J104" s="1259"/>
      <c r="K104" s="1264"/>
      <c r="L104" s="1260"/>
      <c r="M104" s="1260"/>
      <c r="N104" s="1260"/>
      <c r="O104" s="1260"/>
      <c r="P104" s="1260"/>
      <c r="Q104" s="1259"/>
      <c r="R104" s="628" t="s">
        <v>467</v>
      </c>
      <c r="S104" s="463"/>
      <c r="T104" s="909">
        <f t="shared" si="25"/>
        <v>0</v>
      </c>
      <c r="U104" s="909">
        <f t="shared" si="26"/>
        <v>0</v>
      </c>
      <c r="V104" s="909">
        <f t="shared" si="27"/>
        <v>0</v>
      </c>
      <c r="W104" s="909">
        <f t="shared" si="28"/>
        <v>0</v>
      </c>
      <c r="X104" s="910">
        <f t="shared" si="29"/>
        <v>0</v>
      </c>
      <c r="AR104" s="567"/>
      <c r="AS104" s="473"/>
      <c r="AT104" s="473"/>
      <c r="AU104" s="505"/>
      <c r="AV104" s="473"/>
    </row>
    <row r="105" spans="1:48" ht="9.75">
      <c r="A105" s="106">
        <v>23</v>
      </c>
      <c r="B105" s="502" t="s">
        <v>159</v>
      </c>
      <c r="C105" s="716" t="s">
        <v>510</v>
      </c>
      <c r="D105" s="1254"/>
      <c r="E105" s="1256"/>
      <c r="F105" s="1256"/>
      <c r="G105" s="1256"/>
      <c r="H105" s="1256"/>
      <c r="I105" s="1256"/>
      <c r="J105" s="1258"/>
      <c r="K105" s="1264">
        <v>2</v>
      </c>
      <c r="L105" s="1260"/>
      <c r="M105" s="1263">
        <v>1</v>
      </c>
      <c r="N105" s="717"/>
      <c r="O105" s="1264"/>
      <c r="P105" s="1260" t="s">
        <v>9</v>
      </c>
      <c r="Q105" s="1258">
        <v>3</v>
      </c>
      <c r="R105" s="628" t="s">
        <v>439</v>
      </c>
      <c r="S105" s="463"/>
      <c r="T105" s="909">
        <f t="shared" si="25"/>
        <v>0</v>
      </c>
      <c r="U105" s="909">
        <f t="shared" si="26"/>
        <v>28</v>
      </c>
      <c r="V105" s="909">
        <f t="shared" si="27"/>
        <v>0</v>
      </c>
      <c r="W105" s="909">
        <f t="shared" si="28"/>
        <v>14</v>
      </c>
      <c r="X105" s="910">
        <f t="shared" si="29"/>
        <v>42</v>
      </c>
      <c r="AA105" s="634"/>
      <c r="AR105" s="567"/>
      <c r="AS105" s="473"/>
      <c r="AT105" s="473"/>
      <c r="AU105" s="505"/>
      <c r="AV105" s="473"/>
    </row>
    <row r="106" spans="1:48" ht="10.5" thickBot="1">
      <c r="A106" s="718">
        <v>24</v>
      </c>
      <c r="B106" s="719" t="s">
        <v>161</v>
      </c>
      <c r="C106" s="720" t="s">
        <v>511</v>
      </c>
      <c r="D106" s="1255"/>
      <c r="E106" s="1257"/>
      <c r="F106" s="1257"/>
      <c r="G106" s="1257"/>
      <c r="H106" s="1257"/>
      <c r="I106" s="1257"/>
      <c r="J106" s="1261"/>
      <c r="K106" s="1267"/>
      <c r="L106" s="1262"/>
      <c r="M106" s="1262"/>
      <c r="N106" s="721"/>
      <c r="O106" s="1262"/>
      <c r="P106" s="1262"/>
      <c r="Q106" s="1261"/>
      <c r="R106" s="628" t="s">
        <v>439</v>
      </c>
      <c r="S106" s="463"/>
      <c r="T106" s="909">
        <f t="shared" si="25"/>
        <v>0</v>
      </c>
      <c r="U106" s="909">
        <f t="shared" si="26"/>
        <v>0</v>
      </c>
      <c r="V106" s="909">
        <f t="shared" si="27"/>
        <v>0</v>
      </c>
      <c r="W106" s="909">
        <f t="shared" si="28"/>
        <v>0</v>
      </c>
      <c r="X106" s="910">
        <f t="shared" si="29"/>
        <v>0</v>
      </c>
      <c r="Y106" s="474"/>
      <c r="AR106" s="567"/>
      <c r="AS106" s="473"/>
      <c r="AT106" s="473"/>
      <c r="AU106" s="505"/>
      <c r="AV106" s="473"/>
    </row>
    <row r="107" spans="4:26" ht="9.75">
      <c r="D107" s="528">
        <f>SUM(D97:D106)</f>
        <v>4</v>
      </c>
      <c r="E107" s="528">
        <f>SUM(E97:E106)</f>
        <v>1</v>
      </c>
      <c r="F107" s="528">
        <f>SUM(F97:F106)</f>
        <v>0</v>
      </c>
      <c r="G107" s="528">
        <f>SUM(G97:G106)</f>
        <v>4</v>
      </c>
      <c r="H107" s="459">
        <f>SUM(H97:H106)</f>
        <v>0</v>
      </c>
      <c r="J107" s="707">
        <f aca="true" t="shared" si="30" ref="J107:O107">SUM(J97:J106)</f>
        <v>9</v>
      </c>
      <c r="K107" s="610">
        <f t="shared" si="30"/>
        <v>6</v>
      </c>
      <c r="L107" s="528">
        <f t="shared" si="30"/>
        <v>1</v>
      </c>
      <c r="M107" s="528">
        <f t="shared" si="30"/>
        <v>2</v>
      </c>
      <c r="N107" s="722">
        <f t="shared" si="30"/>
        <v>0</v>
      </c>
      <c r="O107" s="542">
        <f t="shared" si="30"/>
        <v>0</v>
      </c>
      <c r="P107" s="529"/>
      <c r="Q107" s="636">
        <f>SUM(Q97:Q106)</f>
        <v>9</v>
      </c>
      <c r="T107" s="915">
        <f>SUM(T97:T106)</f>
        <v>56</v>
      </c>
      <c r="U107" s="915">
        <f>SUM(U97:U106)</f>
        <v>84</v>
      </c>
      <c r="V107" s="915">
        <f>SUM(V97:V106)</f>
        <v>70</v>
      </c>
      <c r="W107" s="915">
        <f>SUM(W97:W106)</f>
        <v>42</v>
      </c>
      <c r="X107" s="915">
        <f>SUM(X97:X106)</f>
        <v>252</v>
      </c>
      <c r="Y107" s="474"/>
      <c r="Z107" s="634"/>
    </row>
    <row r="108" spans="3:25" ht="9.75">
      <c r="C108" s="459"/>
      <c r="D108" s="708">
        <f>SUM(D107:G107)</f>
        <v>9</v>
      </c>
      <c r="G108" s="459"/>
      <c r="I108" s="543">
        <f>COUNTIF(I97:I106,"E")</f>
        <v>1</v>
      </c>
      <c r="J108" s="539" t="s">
        <v>81</v>
      </c>
      <c r="K108" s="708">
        <f>SUM(K107:N107)</f>
        <v>9</v>
      </c>
      <c r="L108" s="459"/>
      <c r="M108" s="459"/>
      <c r="N108" s="459"/>
      <c r="P108" s="543">
        <f>COUNTIF(P97:P106,"E")</f>
        <v>1</v>
      </c>
      <c r="Q108" s="543" t="s">
        <v>81</v>
      </c>
      <c r="T108" s="922">
        <f>14*D107</f>
        <v>56</v>
      </c>
      <c r="U108" s="909">
        <f>14*K107</f>
        <v>84</v>
      </c>
      <c r="V108" s="922">
        <f>14*(E107+F107+G107)</f>
        <v>70</v>
      </c>
      <c r="W108" s="909">
        <f>14*(L107+M107+N107)</f>
        <v>42</v>
      </c>
      <c r="X108" s="924">
        <f>SUM(T108:W108)</f>
        <v>252</v>
      </c>
      <c r="Y108" s="474"/>
    </row>
    <row r="109" spans="2:25" ht="9.75">
      <c r="B109" s="902" t="s">
        <v>82</v>
      </c>
      <c r="C109" s="460">
        <f>COUNTIF(C4:C106,"DF*")</f>
        <v>11</v>
      </c>
      <c r="I109" s="543">
        <f>COUNTIF(I97:I106,"C")</f>
        <v>1</v>
      </c>
      <c r="J109" s="545" t="s">
        <v>9</v>
      </c>
      <c r="K109" s="459"/>
      <c r="L109" s="459"/>
      <c r="M109" s="459"/>
      <c r="N109" s="459"/>
      <c r="P109" s="543">
        <f>COUNTIF(P98:P107,"C")</f>
        <v>2</v>
      </c>
      <c r="Q109" s="543" t="s">
        <v>9</v>
      </c>
      <c r="U109" s="916"/>
      <c r="W109" s="916"/>
      <c r="X109" s="921"/>
      <c r="Y109" s="474"/>
    </row>
    <row r="110" spans="2:63" s="460" customFormat="1" ht="9.75">
      <c r="B110" s="902" t="s">
        <v>112</v>
      </c>
      <c r="C110" s="460">
        <f>COUNTIF(C4:C106,"DD*")</f>
        <v>26</v>
      </c>
      <c r="H110" s="459"/>
      <c r="I110" s="459"/>
      <c r="J110" s="459"/>
      <c r="K110" s="459"/>
      <c r="L110" s="459"/>
      <c r="M110" s="459"/>
      <c r="N110" s="459"/>
      <c r="O110" s="459"/>
      <c r="P110" s="723"/>
      <c r="Q110" s="459"/>
      <c r="R110" s="458"/>
      <c r="S110" s="459"/>
      <c r="T110" s="925"/>
      <c r="U110" s="926"/>
      <c r="V110" s="925"/>
      <c r="W110" s="926"/>
      <c r="X110" s="927"/>
      <c r="Y110" s="474"/>
      <c r="Z110" s="459"/>
      <c r="AA110" s="459"/>
      <c r="AB110" s="459"/>
      <c r="AC110" s="459"/>
      <c r="AD110" s="459"/>
      <c r="AE110" s="459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459"/>
      <c r="AR110" s="459"/>
      <c r="AS110" s="459"/>
      <c r="AT110" s="459"/>
      <c r="AU110" s="459"/>
      <c r="AV110" s="459"/>
      <c r="AW110" s="459"/>
      <c r="AX110" s="459"/>
      <c r="AY110" s="459"/>
      <c r="AZ110" s="459"/>
      <c r="BA110" s="459"/>
      <c r="BB110" s="459"/>
      <c r="BC110" s="459"/>
      <c r="BD110" s="459"/>
      <c r="BE110" s="459"/>
      <c r="BF110" s="459"/>
      <c r="BG110" s="459"/>
      <c r="BH110" s="459"/>
      <c r="BI110" s="459"/>
      <c r="BJ110" s="459"/>
      <c r="BK110" s="459"/>
    </row>
    <row r="111" spans="2:43" ht="9.75">
      <c r="B111" s="902" t="s">
        <v>85</v>
      </c>
      <c r="C111" s="460">
        <f>COUNTIF(C4:C106,"DC*")</f>
        <v>9</v>
      </c>
      <c r="H111" s="543" t="s">
        <v>512</v>
      </c>
      <c r="I111" s="543">
        <f>COUNTIF(I4:I109,"E")</f>
        <v>20</v>
      </c>
      <c r="N111" s="459"/>
      <c r="O111" s="543" t="s">
        <v>512</v>
      </c>
      <c r="P111" s="543">
        <f>COUNTIF(P4:P109,"E")</f>
        <v>17</v>
      </c>
      <c r="U111" s="916"/>
      <c r="W111" s="916"/>
      <c r="X111" s="921"/>
      <c r="Y111" s="474"/>
      <c r="AQ111" s="724"/>
    </row>
    <row r="112" spans="2:31" ht="9.75">
      <c r="B112" s="902" t="s">
        <v>88</v>
      </c>
      <c r="C112" s="460">
        <f>COUNTIF(C4:C106,"DS*")</f>
        <v>31</v>
      </c>
      <c r="H112" s="543" t="s">
        <v>9</v>
      </c>
      <c r="I112" s="543">
        <f>COUNTIF(I4:I106,"C")</f>
        <v>13</v>
      </c>
      <c r="N112" s="459"/>
      <c r="O112" s="543" t="s">
        <v>9</v>
      </c>
      <c r="P112" s="543">
        <f>COUNTIF(P4:P109,"C")</f>
        <v>19</v>
      </c>
      <c r="U112" s="916"/>
      <c r="W112" s="916"/>
      <c r="X112" s="921"/>
      <c r="Y112" s="474"/>
      <c r="AB112" s="634"/>
      <c r="AC112" s="634"/>
      <c r="AD112" s="634"/>
      <c r="AE112" s="634"/>
    </row>
    <row r="113" spans="8:43" ht="9.75">
      <c r="H113" s="543" t="s">
        <v>12</v>
      </c>
      <c r="I113" s="543">
        <f>COUNTIF(I4:I109,"P")</f>
        <v>0</v>
      </c>
      <c r="N113" s="459"/>
      <c r="O113" s="543" t="s">
        <v>12</v>
      </c>
      <c r="P113" s="543">
        <f>COUNTIF(P4:P109,"P")</f>
        <v>0</v>
      </c>
      <c r="U113" s="916"/>
      <c r="W113" s="916"/>
      <c r="X113" s="921"/>
      <c r="Y113" s="474"/>
      <c r="AB113" s="634"/>
      <c r="AC113" s="634"/>
      <c r="AD113" s="634"/>
      <c r="AE113" s="634"/>
      <c r="AQ113" s="544"/>
    </row>
    <row r="114" spans="3:43" ht="9.75">
      <c r="C114" s="459"/>
      <c r="N114" s="459"/>
      <c r="U114" s="916"/>
      <c r="W114" s="916"/>
      <c r="X114" s="921"/>
      <c r="Y114" s="474"/>
      <c r="AQ114" s="544"/>
    </row>
    <row r="115" spans="9:43" ht="9.75">
      <c r="I115" s="543" t="s">
        <v>34</v>
      </c>
      <c r="J115" s="543"/>
      <c r="K115" s="543" t="s">
        <v>81</v>
      </c>
      <c r="L115" s="543">
        <f>I111+P111</f>
        <v>37</v>
      </c>
      <c r="M115" s="725">
        <f>L115/L118</f>
        <v>0.5362318840579711</v>
      </c>
      <c r="N115" s="459"/>
      <c r="U115" s="916"/>
      <c r="W115" s="916"/>
      <c r="X115" s="921"/>
      <c r="Y115" s="526"/>
      <c r="AQ115" s="544"/>
    </row>
    <row r="116" spans="11:36" ht="9.75">
      <c r="K116" s="543" t="s">
        <v>9</v>
      </c>
      <c r="L116" s="543">
        <f>I112+P112</f>
        <v>32</v>
      </c>
      <c r="M116" s="725">
        <f>L116/L118</f>
        <v>0.463768115942029</v>
      </c>
      <c r="AH116" s="460"/>
      <c r="AI116" s="460"/>
      <c r="AJ116" s="460"/>
    </row>
    <row r="117" spans="11:43" ht="9.75">
      <c r="K117" s="543" t="s">
        <v>12</v>
      </c>
      <c r="L117" s="543">
        <f>I113+P113</f>
        <v>0</v>
      </c>
      <c r="M117" s="726">
        <f>L117/L118</f>
        <v>0</v>
      </c>
      <c r="AA117" s="634"/>
      <c r="AH117" s="460"/>
      <c r="AI117" s="460"/>
      <c r="AJ117" s="460"/>
      <c r="AQ117" s="544"/>
    </row>
    <row r="118" spans="11:43" ht="9.75">
      <c r="K118" s="543"/>
      <c r="L118" s="543">
        <f>SUM(L115:L117)</f>
        <v>69</v>
      </c>
      <c r="M118" s="726"/>
      <c r="AA118" s="634"/>
      <c r="AH118" s="460"/>
      <c r="AI118" s="460"/>
      <c r="AJ118" s="460"/>
      <c r="AQ118" s="544"/>
    </row>
    <row r="119" spans="1:27" ht="10.5" thickBot="1">
      <c r="A119" s="550"/>
      <c r="B119" s="551" t="s">
        <v>458</v>
      </c>
      <c r="C119" s="550"/>
      <c r="D119" s="550"/>
      <c r="E119" s="550"/>
      <c r="F119" s="550"/>
      <c r="G119" s="550"/>
      <c r="H119" s="550"/>
      <c r="I119" s="550"/>
      <c r="J119" s="550"/>
      <c r="K119" s="550"/>
      <c r="L119" s="550"/>
      <c r="M119" s="550"/>
      <c r="N119" s="550"/>
      <c r="O119" s="550"/>
      <c r="P119" s="550"/>
      <c r="Q119" s="550"/>
      <c r="Y119" s="474"/>
      <c r="AA119" s="634"/>
    </row>
    <row r="120" spans="1:36" ht="11.25" customHeight="1">
      <c r="A120" s="727">
        <v>19</v>
      </c>
      <c r="B120" s="728" t="s">
        <v>513</v>
      </c>
      <c r="C120" s="729" t="s">
        <v>514</v>
      </c>
      <c r="D120" s="730">
        <v>2</v>
      </c>
      <c r="E120" s="731">
        <v>2</v>
      </c>
      <c r="F120" s="731"/>
      <c r="G120" s="731"/>
      <c r="H120" s="731"/>
      <c r="I120" s="731" t="s">
        <v>9</v>
      </c>
      <c r="J120" s="731">
        <v>4</v>
      </c>
      <c r="K120" s="731"/>
      <c r="L120" s="731"/>
      <c r="M120" s="731"/>
      <c r="N120" s="731"/>
      <c r="O120" s="731"/>
      <c r="P120" s="731"/>
      <c r="Q120" s="732"/>
      <c r="R120" s="733"/>
      <c r="S120" s="734"/>
      <c r="T120" s="909">
        <f>14*D120</f>
        <v>28</v>
      </c>
      <c r="U120" s="909">
        <f>14*K120</f>
        <v>0</v>
      </c>
      <c r="V120" s="909">
        <f>14*(SUM(E120:G120))</f>
        <v>28</v>
      </c>
      <c r="W120" s="909">
        <f>14*(SUM(L120:N120))</f>
        <v>0</v>
      </c>
      <c r="X120" s="910">
        <f>SUM(T120:W120)</f>
        <v>56</v>
      </c>
      <c r="Y120" s="474"/>
      <c r="Z120" s="634"/>
      <c r="AH120" s="459"/>
      <c r="AI120" s="459"/>
      <c r="AJ120" s="459"/>
    </row>
    <row r="121" spans="1:36" ht="11.25" customHeight="1">
      <c r="A121" s="735">
        <v>20</v>
      </c>
      <c r="B121" s="736" t="s">
        <v>515</v>
      </c>
      <c r="C121" s="737" t="s">
        <v>516</v>
      </c>
      <c r="D121" s="738">
        <v>2</v>
      </c>
      <c r="E121" s="739">
        <v>2</v>
      </c>
      <c r="F121" s="739"/>
      <c r="G121" s="739"/>
      <c r="H121" s="739"/>
      <c r="I121" s="739" t="s">
        <v>9</v>
      </c>
      <c r="J121" s="739">
        <v>4</v>
      </c>
      <c r="K121" s="739"/>
      <c r="L121" s="739"/>
      <c r="M121" s="739"/>
      <c r="N121" s="739"/>
      <c r="O121" s="739"/>
      <c r="P121" s="739"/>
      <c r="Q121" s="735"/>
      <c r="R121" s="733"/>
      <c r="S121" s="734"/>
      <c r="T121" s="909">
        <f aca="true" t="shared" si="31" ref="T121:T141">14*D121</f>
        <v>28</v>
      </c>
      <c r="U121" s="909">
        <f aca="true" t="shared" si="32" ref="U121:U141">14*K121</f>
        <v>0</v>
      </c>
      <c r="V121" s="909">
        <f aca="true" t="shared" si="33" ref="V121:V141">14*(SUM(E121:G121))</f>
        <v>28</v>
      </c>
      <c r="W121" s="909">
        <f aca="true" t="shared" si="34" ref="W121:W141">14*(SUM(L121:N121))</f>
        <v>0</v>
      </c>
      <c r="X121" s="910">
        <f aca="true" t="shared" si="35" ref="X121:X141">SUM(T121:W121)</f>
        <v>56</v>
      </c>
      <c r="Y121" s="474"/>
      <c r="Z121" s="634"/>
      <c r="AH121" s="459"/>
      <c r="AI121" s="459"/>
      <c r="AJ121" s="459"/>
    </row>
    <row r="122" spans="1:36" ht="11.25" customHeight="1">
      <c r="A122" s="740">
        <v>21</v>
      </c>
      <c r="B122" s="741" t="s">
        <v>147</v>
      </c>
      <c r="C122" s="742" t="s">
        <v>148</v>
      </c>
      <c r="D122" s="743">
        <v>2</v>
      </c>
      <c r="E122" s="744">
        <v>2</v>
      </c>
      <c r="F122" s="744"/>
      <c r="G122" s="744"/>
      <c r="H122" s="744"/>
      <c r="I122" s="744" t="s">
        <v>81</v>
      </c>
      <c r="J122" s="744">
        <v>5</v>
      </c>
      <c r="K122" s="745"/>
      <c r="L122" s="745"/>
      <c r="M122" s="745"/>
      <c r="N122" s="745"/>
      <c r="O122" s="745"/>
      <c r="P122" s="746"/>
      <c r="Q122" s="740"/>
      <c r="R122" s="689"/>
      <c r="S122" s="464"/>
      <c r="T122" s="909">
        <f t="shared" si="31"/>
        <v>28</v>
      </c>
      <c r="U122" s="909">
        <f t="shared" si="32"/>
        <v>0</v>
      </c>
      <c r="V122" s="909">
        <f t="shared" si="33"/>
        <v>28</v>
      </c>
      <c r="W122" s="909">
        <f t="shared" si="34"/>
        <v>0</v>
      </c>
      <c r="X122" s="910">
        <f t="shared" si="35"/>
        <v>56</v>
      </c>
      <c r="Y122" s="474"/>
      <c r="AH122" s="459"/>
      <c r="AI122" s="459"/>
      <c r="AJ122" s="459"/>
    </row>
    <row r="123" spans="1:45" ht="11.25" customHeight="1">
      <c r="A123" s="740">
        <v>22</v>
      </c>
      <c r="B123" s="741" t="s">
        <v>149</v>
      </c>
      <c r="C123" s="742" t="s">
        <v>150</v>
      </c>
      <c r="D123" s="747"/>
      <c r="E123" s="748"/>
      <c r="F123" s="748"/>
      <c r="G123" s="748"/>
      <c r="H123" s="748"/>
      <c r="I123" s="744"/>
      <c r="J123" s="744"/>
      <c r="K123" s="748">
        <v>2</v>
      </c>
      <c r="L123" s="748">
        <v>2</v>
      </c>
      <c r="M123" s="748"/>
      <c r="N123" s="748"/>
      <c r="O123" s="748"/>
      <c r="P123" s="744" t="s">
        <v>81</v>
      </c>
      <c r="Q123" s="749">
        <v>5</v>
      </c>
      <c r="R123" s="689"/>
      <c r="S123" s="464"/>
      <c r="T123" s="909">
        <f t="shared" si="31"/>
        <v>0</v>
      </c>
      <c r="U123" s="909">
        <f t="shared" si="32"/>
        <v>28</v>
      </c>
      <c r="V123" s="909">
        <f t="shared" si="33"/>
        <v>0</v>
      </c>
      <c r="W123" s="909">
        <f t="shared" si="34"/>
        <v>28</v>
      </c>
      <c r="X123" s="910">
        <f t="shared" si="35"/>
        <v>56</v>
      </c>
      <c r="Y123" s="474"/>
      <c r="AH123" s="459"/>
      <c r="AI123" s="459"/>
      <c r="AJ123" s="459"/>
      <c r="AS123" s="750"/>
    </row>
    <row r="124" spans="1:45" ht="11.25" customHeight="1">
      <c r="A124" s="751">
        <v>18</v>
      </c>
      <c r="B124" s="752" t="s">
        <v>151</v>
      </c>
      <c r="C124" s="753" t="s">
        <v>152</v>
      </c>
      <c r="D124" s="754">
        <v>2</v>
      </c>
      <c r="E124" s="755">
        <v>2</v>
      </c>
      <c r="F124" s="755"/>
      <c r="G124" s="755"/>
      <c r="H124" s="755"/>
      <c r="I124" s="755" t="s">
        <v>81</v>
      </c>
      <c r="J124" s="755">
        <v>5</v>
      </c>
      <c r="K124" s="756"/>
      <c r="L124" s="756"/>
      <c r="M124" s="756"/>
      <c r="N124" s="756"/>
      <c r="O124" s="756"/>
      <c r="P124" s="757"/>
      <c r="Q124" s="751"/>
      <c r="R124" s="689"/>
      <c r="S124" s="464"/>
      <c r="T124" s="909">
        <f t="shared" si="31"/>
        <v>28</v>
      </c>
      <c r="U124" s="909">
        <f t="shared" si="32"/>
        <v>0</v>
      </c>
      <c r="V124" s="909">
        <f t="shared" si="33"/>
        <v>28</v>
      </c>
      <c r="W124" s="909">
        <f t="shared" si="34"/>
        <v>0</v>
      </c>
      <c r="X124" s="910">
        <f t="shared" si="35"/>
        <v>56</v>
      </c>
      <c r="Y124" s="474"/>
      <c r="AH124" s="459"/>
      <c r="AI124" s="459"/>
      <c r="AJ124" s="459"/>
      <c r="AR124" s="724"/>
      <c r="AS124" s="750"/>
    </row>
    <row r="125" spans="1:45" ht="11.25" customHeight="1">
      <c r="A125" s="758">
        <v>19</v>
      </c>
      <c r="B125" s="752" t="s">
        <v>153</v>
      </c>
      <c r="C125" s="753" t="s">
        <v>517</v>
      </c>
      <c r="D125" s="759"/>
      <c r="E125" s="760"/>
      <c r="F125" s="760"/>
      <c r="G125" s="760"/>
      <c r="H125" s="760"/>
      <c r="I125" s="755"/>
      <c r="J125" s="755"/>
      <c r="K125" s="760">
        <v>2</v>
      </c>
      <c r="L125" s="760">
        <v>2</v>
      </c>
      <c r="M125" s="760"/>
      <c r="N125" s="760"/>
      <c r="O125" s="760"/>
      <c r="P125" s="755" t="s">
        <v>81</v>
      </c>
      <c r="Q125" s="758">
        <v>5</v>
      </c>
      <c r="R125" s="689"/>
      <c r="S125" s="464"/>
      <c r="T125" s="909">
        <f t="shared" si="31"/>
        <v>0</v>
      </c>
      <c r="U125" s="909">
        <f t="shared" si="32"/>
        <v>28</v>
      </c>
      <c r="V125" s="909">
        <f t="shared" si="33"/>
        <v>0</v>
      </c>
      <c r="W125" s="909">
        <f t="shared" si="34"/>
        <v>28</v>
      </c>
      <c r="X125" s="910">
        <f t="shared" si="35"/>
        <v>56</v>
      </c>
      <c r="Y125" s="474"/>
      <c r="AH125" s="459"/>
      <c r="AI125" s="459"/>
      <c r="AJ125" s="459"/>
      <c r="AR125" s="724"/>
      <c r="AS125" s="750"/>
    </row>
    <row r="126" spans="1:45" ht="11.25" customHeight="1">
      <c r="A126" s="761">
        <v>21</v>
      </c>
      <c r="B126" s="762" t="s">
        <v>163</v>
      </c>
      <c r="C126" s="763" t="s">
        <v>164</v>
      </c>
      <c r="D126" s="764">
        <v>1</v>
      </c>
      <c r="E126" s="765">
        <v>1</v>
      </c>
      <c r="F126" s="765"/>
      <c r="G126" s="765"/>
      <c r="H126" s="765">
        <v>22</v>
      </c>
      <c r="I126" s="765" t="s">
        <v>9</v>
      </c>
      <c r="J126" s="765">
        <v>2</v>
      </c>
      <c r="K126" s="766"/>
      <c r="L126" s="766"/>
      <c r="M126" s="766"/>
      <c r="N126" s="766"/>
      <c r="O126" s="766"/>
      <c r="P126" s="767"/>
      <c r="Q126" s="761"/>
      <c r="R126" s="689"/>
      <c r="S126" s="464"/>
      <c r="T126" s="909">
        <f t="shared" si="31"/>
        <v>14</v>
      </c>
      <c r="U126" s="909">
        <f t="shared" si="32"/>
        <v>0</v>
      </c>
      <c r="V126" s="909">
        <f t="shared" si="33"/>
        <v>14</v>
      </c>
      <c r="W126" s="909">
        <f t="shared" si="34"/>
        <v>0</v>
      </c>
      <c r="X126" s="910">
        <f t="shared" si="35"/>
        <v>28</v>
      </c>
      <c r="Y126" s="474"/>
      <c r="AH126" s="459"/>
      <c r="AI126" s="459"/>
      <c r="AJ126" s="459"/>
      <c r="AR126" s="724"/>
      <c r="AS126" s="750"/>
    </row>
    <row r="127" spans="1:45" ht="11.25" customHeight="1">
      <c r="A127" s="761">
        <v>22</v>
      </c>
      <c r="B127" s="762" t="s">
        <v>165</v>
      </c>
      <c r="C127" s="763" t="s">
        <v>166</v>
      </c>
      <c r="D127" s="764"/>
      <c r="E127" s="765">
        <v>3</v>
      </c>
      <c r="F127" s="765"/>
      <c r="G127" s="765"/>
      <c r="H127" s="765">
        <v>8</v>
      </c>
      <c r="I127" s="765" t="s">
        <v>9</v>
      </c>
      <c r="J127" s="765">
        <v>2</v>
      </c>
      <c r="K127" s="766"/>
      <c r="L127" s="766"/>
      <c r="M127" s="766"/>
      <c r="N127" s="766"/>
      <c r="O127" s="766"/>
      <c r="P127" s="767"/>
      <c r="Q127" s="761"/>
      <c r="R127" s="689"/>
      <c r="S127" s="464"/>
      <c r="T127" s="909">
        <f t="shared" si="31"/>
        <v>0</v>
      </c>
      <c r="U127" s="909">
        <f t="shared" si="32"/>
        <v>0</v>
      </c>
      <c r="V127" s="909">
        <f t="shared" si="33"/>
        <v>42</v>
      </c>
      <c r="W127" s="909">
        <f t="shared" si="34"/>
        <v>0</v>
      </c>
      <c r="X127" s="910">
        <f t="shared" si="35"/>
        <v>42</v>
      </c>
      <c r="Y127" s="474"/>
      <c r="AH127" s="459"/>
      <c r="AI127" s="459"/>
      <c r="AJ127" s="459"/>
      <c r="AR127" s="724"/>
      <c r="AS127" s="750"/>
    </row>
    <row r="128" spans="1:45" ht="11.25" customHeight="1">
      <c r="A128" s="761">
        <v>23</v>
      </c>
      <c r="B128" s="762" t="s">
        <v>172</v>
      </c>
      <c r="C128" s="763" t="s">
        <v>167</v>
      </c>
      <c r="D128" s="764"/>
      <c r="E128" s="765"/>
      <c r="F128" s="765"/>
      <c r="G128" s="765"/>
      <c r="H128" s="765"/>
      <c r="I128" s="765"/>
      <c r="J128" s="765"/>
      <c r="K128" s="766">
        <v>1</v>
      </c>
      <c r="L128" s="766">
        <v>1</v>
      </c>
      <c r="M128" s="766"/>
      <c r="N128" s="766"/>
      <c r="O128" s="766">
        <v>47</v>
      </c>
      <c r="P128" s="767" t="s">
        <v>81</v>
      </c>
      <c r="Q128" s="761">
        <v>3</v>
      </c>
      <c r="R128" s="689"/>
      <c r="S128" s="464"/>
      <c r="T128" s="909">
        <f t="shared" si="31"/>
        <v>0</v>
      </c>
      <c r="U128" s="909">
        <f t="shared" si="32"/>
        <v>14</v>
      </c>
      <c r="V128" s="909">
        <f t="shared" si="33"/>
        <v>0</v>
      </c>
      <c r="W128" s="909">
        <f t="shared" si="34"/>
        <v>14</v>
      </c>
      <c r="X128" s="910">
        <f t="shared" si="35"/>
        <v>28</v>
      </c>
      <c r="Y128" s="474"/>
      <c r="AH128" s="459"/>
      <c r="AI128" s="459"/>
      <c r="AJ128" s="459"/>
      <c r="AR128" s="724"/>
      <c r="AS128" s="750"/>
    </row>
    <row r="129" spans="1:45" ht="11.25" customHeight="1">
      <c r="A129" s="761">
        <v>24</v>
      </c>
      <c r="B129" s="762" t="s">
        <v>169</v>
      </c>
      <c r="C129" s="763" t="s">
        <v>168</v>
      </c>
      <c r="D129" s="768"/>
      <c r="E129" s="769"/>
      <c r="F129" s="769"/>
      <c r="G129" s="769"/>
      <c r="H129" s="769"/>
      <c r="I129" s="765"/>
      <c r="J129" s="765"/>
      <c r="K129" s="769"/>
      <c r="L129" s="769">
        <v>3</v>
      </c>
      <c r="M129" s="769"/>
      <c r="N129" s="769"/>
      <c r="O129" s="769">
        <v>8</v>
      </c>
      <c r="P129" s="765" t="s">
        <v>9</v>
      </c>
      <c r="Q129" s="770">
        <v>2</v>
      </c>
      <c r="R129" s="689"/>
      <c r="S129" s="464"/>
      <c r="T129" s="909">
        <f t="shared" si="31"/>
        <v>0</v>
      </c>
      <c r="U129" s="909">
        <f t="shared" si="32"/>
        <v>0</v>
      </c>
      <c r="V129" s="909">
        <f t="shared" si="33"/>
        <v>0</v>
      </c>
      <c r="W129" s="909">
        <f t="shared" si="34"/>
        <v>42</v>
      </c>
      <c r="X129" s="910">
        <f t="shared" si="35"/>
        <v>42</v>
      </c>
      <c r="Y129" s="474"/>
      <c r="AH129" s="459"/>
      <c r="AI129" s="459"/>
      <c r="AJ129" s="459"/>
      <c r="AR129" s="724"/>
      <c r="AS129" s="750"/>
    </row>
    <row r="130" spans="1:45" ht="11.25" customHeight="1" thickBot="1">
      <c r="A130" s="771">
        <v>25</v>
      </c>
      <c r="B130" s="772" t="s">
        <v>171</v>
      </c>
      <c r="C130" s="773" t="s">
        <v>170</v>
      </c>
      <c r="D130" s="774"/>
      <c r="E130" s="775"/>
      <c r="F130" s="775"/>
      <c r="G130" s="775"/>
      <c r="H130" s="775"/>
      <c r="I130" s="776"/>
      <c r="J130" s="776"/>
      <c r="K130" s="775"/>
      <c r="L130" s="775"/>
      <c r="M130" s="775"/>
      <c r="N130" s="775"/>
      <c r="O130" s="775"/>
      <c r="P130" s="776" t="s">
        <v>81</v>
      </c>
      <c r="Q130" s="771">
        <v>5</v>
      </c>
      <c r="R130" s="689"/>
      <c r="S130" s="464"/>
      <c r="T130" s="909">
        <f t="shared" si="31"/>
        <v>0</v>
      </c>
      <c r="U130" s="909">
        <f t="shared" si="32"/>
        <v>0</v>
      </c>
      <c r="V130" s="909">
        <f t="shared" si="33"/>
        <v>0</v>
      </c>
      <c r="W130" s="909">
        <f t="shared" si="34"/>
        <v>0</v>
      </c>
      <c r="X130" s="910">
        <f t="shared" si="35"/>
        <v>0</v>
      </c>
      <c r="Y130" s="474"/>
      <c r="AH130" s="459"/>
      <c r="AI130" s="459"/>
      <c r="AJ130" s="459"/>
      <c r="AR130" s="724"/>
      <c r="AS130" s="750"/>
    </row>
    <row r="131" spans="1:45" ht="11.25" customHeight="1" thickBot="1">
      <c r="A131" s="771">
        <v>26</v>
      </c>
      <c r="B131" s="772" t="s">
        <v>550</v>
      </c>
      <c r="C131" s="773" t="s">
        <v>546</v>
      </c>
      <c r="D131" s="774">
        <v>2</v>
      </c>
      <c r="E131" s="775">
        <v>1</v>
      </c>
      <c r="F131" s="775">
        <v>1</v>
      </c>
      <c r="G131" s="775"/>
      <c r="H131" s="775">
        <v>44</v>
      </c>
      <c r="I131" s="776" t="s">
        <v>81</v>
      </c>
      <c r="J131" s="776">
        <v>4</v>
      </c>
      <c r="K131" s="775"/>
      <c r="L131" s="775"/>
      <c r="M131" s="775"/>
      <c r="N131" s="775"/>
      <c r="O131" s="775"/>
      <c r="P131" s="776"/>
      <c r="Q131" s="771"/>
      <c r="R131" s="689"/>
      <c r="S131" s="464"/>
      <c r="T131" s="909">
        <f t="shared" si="31"/>
        <v>28</v>
      </c>
      <c r="U131" s="909">
        <f t="shared" si="32"/>
        <v>0</v>
      </c>
      <c r="V131" s="909">
        <f t="shared" si="33"/>
        <v>28</v>
      </c>
      <c r="W131" s="909">
        <f t="shared" si="34"/>
        <v>0</v>
      </c>
      <c r="X131" s="910">
        <f t="shared" si="35"/>
        <v>56</v>
      </c>
      <c r="Y131" s="474"/>
      <c r="AH131" s="459"/>
      <c r="AI131" s="459"/>
      <c r="AJ131" s="459"/>
      <c r="AS131" s="777"/>
    </row>
    <row r="132" spans="1:45" ht="11.25" customHeight="1" thickBot="1">
      <c r="A132" s="771">
        <v>27</v>
      </c>
      <c r="B132" s="772" t="s">
        <v>552</v>
      </c>
      <c r="C132" s="773" t="s">
        <v>543</v>
      </c>
      <c r="D132" s="774">
        <v>2</v>
      </c>
      <c r="E132" s="775"/>
      <c r="F132" s="775">
        <v>2</v>
      </c>
      <c r="G132" s="775"/>
      <c r="H132" s="775">
        <v>44</v>
      </c>
      <c r="I132" s="776" t="s">
        <v>81</v>
      </c>
      <c r="J132" s="776">
        <v>4</v>
      </c>
      <c r="K132" s="775"/>
      <c r="L132" s="775"/>
      <c r="M132" s="775"/>
      <c r="N132" s="775"/>
      <c r="O132" s="775"/>
      <c r="P132" s="776"/>
      <c r="Q132" s="771"/>
      <c r="R132" s="689"/>
      <c r="S132" s="464"/>
      <c r="T132" s="909">
        <f t="shared" si="31"/>
        <v>28</v>
      </c>
      <c r="U132" s="909">
        <f t="shared" si="32"/>
        <v>0</v>
      </c>
      <c r="V132" s="909">
        <f t="shared" si="33"/>
        <v>28</v>
      </c>
      <c r="W132" s="909">
        <f t="shared" si="34"/>
        <v>0</v>
      </c>
      <c r="X132" s="910">
        <f t="shared" si="35"/>
        <v>56</v>
      </c>
      <c r="Y132" s="526"/>
      <c r="AR132" s="544"/>
      <c r="AS132" s="777"/>
    </row>
    <row r="133" spans="1:45" ht="11.25" customHeight="1" thickBot="1">
      <c r="A133" s="771">
        <v>28</v>
      </c>
      <c r="B133" s="772" t="s">
        <v>551</v>
      </c>
      <c r="C133" s="773" t="s">
        <v>547</v>
      </c>
      <c r="D133" s="774"/>
      <c r="E133" s="775"/>
      <c r="F133" s="775"/>
      <c r="G133" s="775"/>
      <c r="H133" s="775"/>
      <c r="I133" s="776"/>
      <c r="J133" s="776"/>
      <c r="K133" s="775">
        <v>2</v>
      </c>
      <c r="L133" s="775">
        <v>1</v>
      </c>
      <c r="M133" s="775">
        <v>1</v>
      </c>
      <c r="N133" s="775"/>
      <c r="O133" s="775">
        <v>44</v>
      </c>
      <c r="P133" s="776" t="s">
        <v>81</v>
      </c>
      <c r="Q133" s="771">
        <v>4</v>
      </c>
      <c r="R133" s="562"/>
      <c r="S133" s="473"/>
      <c r="T133" s="909">
        <f t="shared" si="31"/>
        <v>0</v>
      </c>
      <c r="U133" s="909">
        <f t="shared" si="32"/>
        <v>28</v>
      </c>
      <c r="V133" s="909">
        <f t="shared" si="33"/>
        <v>0</v>
      </c>
      <c r="W133" s="909">
        <f t="shared" si="34"/>
        <v>28</v>
      </c>
      <c r="X133" s="910">
        <f t="shared" si="35"/>
        <v>56</v>
      </c>
      <c r="AR133" s="544"/>
      <c r="AS133" s="777"/>
    </row>
    <row r="134" spans="1:45" ht="11.25" customHeight="1" thickBot="1">
      <c r="A134" s="771">
        <v>29</v>
      </c>
      <c r="B134" s="772" t="s">
        <v>553</v>
      </c>
      <c r="C134" s="773" t="s">
        <v>548</v>
      </c>
      <c r="D134" s="774"/>
      <c r="E134" s="775"/>
      <c r="F134" s="775"/>
      <c r="G134" s="775"/>
      <c r="H134" s="775"/>
      <c r="I134" s="776"/>
      <c r="J134" s="776"/>
      <c r="K134" s="775"/>
      <c r="L134" s="775"/>
      <c r="M134" s="775"/>
      <c r="N134" s="775">
        <v>1</v>
      </c>
      <c r="O134" s="775">
        <v>36</v>
      </c>
      <c r="P134" s="776" t="s">
        <v>9</v>
      </c>
      <c r="Q134" s="771">
        <v>2</v>
      </c>
      <c r="R134" s="628"/>
      <c r="S134" s="463"/>
      <c r="T134" s="909">
        <f t="shared" si="31"/>
        <v>0</v>
      </c>
      <c r="U134" s="909">
        <f t="shared" si="32"/>
        <v>0</v>
      </c>
      <c r="V134" s="909">
        <f t="shared" si="33"/>
        <v>0</v>
      </c>
      <c r="W134" s="909">
        <f t="shared" si="34"/>
        <v>14</v>
      </c>
      <c r="X134" s="910">
        <f t="shared" si="35"/>
        <v>14</v>
      </c>
      <c r="AR134" s="544"/>
      <c r="AS134" s="777"/>
    </row>
    <row r="135" spans="1:45" ht="11.25" customHeight="1" thickBot="1">
      <c r="A135" s="771">
        <v>30</v>
      </c>
      <c r="B135" s="772" t="s">
        <v>554</v>
      </c>
      <c r="C135" s="773" t="s">
        <v>540</v>
      </c>
      <c r="D135" s="774"/>
      <c r="E135" s="775"/>
      <c r="F135" s="775"/>
      <c r="G135" s="775"/>
      <c r="H135" s="775"/>
      <c r="I135" s="776"/>
      <c r="J135" s="776"/>
      <c r="K135" s="775">
        <v>2</v>
      </c>
      <c r="L135" s="775"/>
      <c r="M135" s="775">
        <v>2</v>
      </c>
      <c r="N135" s="775"/>
      <c r="O135" s="775">
        <v>44</v>
      </c>
      <c r="P135" s="776" t="s">
        <v>81</v>
      </c>
      <c r="Q135" s="771">
        <v>4</v>
      </c>
      <c r="R135" s="628"/>
      <c r="S135" s="463"/>
      <c r="T135" s="909">
        <f t="shared" si="31"/>
        <v>0</v>
      </c>
      <c r="U135" s="909">
        <f t="shared" si="32"/>
        <v>28</v>
      </c>
      <c r="V135" s="909">
        <f t="shared" si="33"/>
        <v>0</v>
      </c>
      <c r="W135" s="909">
        <f t="shared" si="34"/>
        <v>28</v>
      </c>
      <c r="X135" s="910">
        <f t="shared" si="35"/>
        <v>56</v>
      </c>
      <c r="AF135" s="460"/>
      <c r="AG135" s="460"/>
      <c r="AK135" s="460"/>
      <c r="AL135" s="460"/>
      <c r="AM135" s="460"/>
      <c r="AN135" s="460"/>
      <c r="AS135" s="777"/>
    </row>
    <row r="136" spans="1:45" ht="10.5" thickBot="1">
      <c r="A136" s="771">
        <v>31</v>
      </c>
      <c r="B136" s="772" t="s">
        <v>555</v>
      </c>
      <c r="C136" s="773" t="s">
        <v>541</v>
      </c>
      <c r="D136" s="774"/>
      <c r="E136" s="775"/>
      <c r="F136" s="775"/>
      <c r="G136" s="775">
        <v>2</v>
      </c>
      <c r="H136" s="775">
        <f>(J136*25-SUM(D136:G136)*14)</f>
        <v>22</v>
      </c>
      <c r="I136" s="776" t="s">
        <v>9</v>
      </c>
      <c r="J136" s="776">
        <v>2</v>
      </c>
      <c r="K136" s="775"/>
      <c r="L136" s="775"/>
      <c r="M136" s="775"/>
      <c r="N136" s="775"/>
      <c r="O136" s="775"/>
      <c r="P136" s="776"/>
      <c r="Q136" s="771"/>
      <c r="R136" s="689"/>
      <c r="S136" s="464"/>
      <c r="T136" s="909">
        <f t="shared" si="31"/>
        <v>0</v>
      </c>
      <c r="U136" s="909">
        <f t="shared" si="32"/>
        <v>0</v>
      </c>
      <c r="V136" s="909">
        <f t="shared" si="33"/>
        <v>28</v>
      </c>
      <c r="W136" s="909">
        <f t="shared" si="34"/>
        <v>0</v>
      </c>
      <c r="X136" s="910">
        <f t="shared" si="35"/>
        <v>28</v>
      </c>
      <c r="AF136" s="460"/>
      <c r="AG136" s="460"/>
      <c r="AK136" s="460"/>
      <c r="AL136" s="460"/>
      <c r="AM136" s="460"/>
      <c r="AN136" s="460"/>
      <c r="AR136" s="544"/>
      <c r="AS136" s="777"/>
    </row>
    <row r="137" spans="1:45" ht="10.5" thickBot="1">
      <c r="A137" s="771">
        <v>32</v>
      </c>
      <c r="B137" s="772" t="s">
        <v>556</v>
      </c>
      <c r="C137" s="773" t="s">
        <v>544</v>
      </c>
      <c r="D137" s="774">
        <v>2</v>
      </c>
      <c r="E137" s="775">
        <v>1</v>
      </c>
      <c r="F137" s="775">
        <v>1</v>
      </c>
      <c r="G137" s="775"/>
      <c r="H137" s="775">
        <f>(J137*25-SUM(D137:G137)*14)</f>
        <v>44</v>
      </c>
      <c r="I137" s="776" t="s">
        <v>81</v>
      </c>
      <c r="J137" s="776">
        <v>4</v>
      </c>
      <c r="K137" s="775"/>
      <c r="L137" s="775"/>
      <c r="M137" s="775"/>
      <c r="N137" s="775"/>
      <c r="O137" s="775"/>
      <c r="P137" s="776"/>
      <c r="Q137" s="771"/>
      <c r="T137" s="909">
        <f t="shared" si="31"/>
        <v>28</v>
      </c>
      <c r="U137" s="909">
        <f t="shared" si="32"/>
        <v>0</v>
      </c>
      <c r="V137" s="909">
        <f t="shared" si="33"/>
        <v>28</v>
      </c>
      <c r="W137" s="909">
        <f t="shared" si="34"/>
        <v>0</v>
      </c>
      <c r="X137" s="910">
        <f t="shared" si="35"/>
        <v>56</v>
      </c>
      <c r="Z137" s="526"/>
      <c r="AS137" s="777"/>
    </row>
    <row r="138" spans="1:45" ht="10.5" thickBot="1">
      <c r="A138" s="771">
        <v>33</v>
      </c>
      <c r="B138" s="772" t="s">
        <v>557</v>
      </c>
      <c r="C138" s="773" t="s">
        <v>545</v>
      </c>
      <c r="D138" s="774"/>
      <c r="E138" s="775"/>
      <c r="F138" s="775"/>
      <c r="G138" s="775">
        <v>2</v>
      </c>
      <c r="H138" s="775">
        <f>(J138*25-SUM(D138:G138)*14)</f>
        <v>22</v>
      </c>
      <c r="I138" s="776" t="s">
        <v>9</v>
      </c>
      <c r="J138" s="776">
        <v>2</v>
      </c>
      <c r="K138" s="775"/>
      <c r="L138" s="775"/>
      <c r="M138" s="775"/>
      <c r="N138" s="775"/>
      <c r="O138" s="775"/>
      <c r="P138" s="776"/>
      <c r="Q138" s="771"/>
      <c r="T138" s="909">
        <f t="shared" si="31"/>
        <v>0</v>
      </c>
      <c r="U138" s="909">
        <f t="shared" si="32"/>
        <v>0</v>
      </c>
      <c r="V138" s="909">
        <f t="shared" si="33"/>
        <v>28</v>
      </c>
      <c r="W138" s="909">
        <f t="shared" si="34"/>
        <v>0</v>
      </c>
      <c r="X138" s="910">
        <f t="shared" si="35"/>
        <v>28</v>
      </c>
      <c r="AS138" s="777"/>
    </row>
    <row r="139" spans="1:45" ht="10.5" thickBot="1">
      <c r="A139" s="771">
        <v>34</v>
      </c>
      <c r="B139" s="772" t="s">
        <v>558</v>
      </c>
      <c r="C139" s="773" t="s">
        <v>542</v>
      </c>
      <c r="D139" s="774">
        <v>2</v>
      </c>
      <c r="E139" s="775"/>
      <c r="F139" s="775">
        <v>2</v>
      </c>
      <c r="G139" s="775"/>
      <c r="H139" s="775">
        <f>(J139*25-SUM(D139:G139)*14)</f>
        <v>44</v>
      </c>
      <c r="I139" s="776" t="s">
        <v>9</v>
      </c>
      <c r="J139" s="776">
        <v>4</v>
      </c>
      <c r="K139" s="775"/>
      <c r="L139" s="775"/>
      <c r="M139" s="775"/>
      <c r="N139" s="775"/>
      <c r="O139" s="775"/>
      <c r="P139" s="776"/>
      <c r="Q139" s="771"/>
      <c r="T139" s="909">
        <f t="shared" si="31"/>
        <v>28</v>
      </c>
      <c r="U139" s="909">
        <f t="shared" si="32"/>
        <v>0</v>
      </c>
      <c r="V139" s="909">
        <f t="shared" si="33"/>
        <v>28</v>
      </c>
      <c r="W139" s="909">
        <f t="shared" si="34"/>
        <v>0</v>
      </c>
      <c r="X139" s="910">
        <f t="shared" si="35"/>
        <v>56</v>
      </c>
      <c r="AF139" s="459"/>
      <c r="AG139" s="459"/>
      <c r="AK139" s="459"/>
      <c r="AL139" s="459"/>
      <c r="AM139" s="459"/>
      <c r="AN139" s="459"/>
      <c r="AQ139" s="778"/>
      <c r="AS139" s="777"/>
    </row>
    <row r="140" spans="1:45" ht="10.5" thickBot="1">
      <c r="A140" s="771">
        <v>35</v>
      </c>
      <c r="B140" s="772" t="s">
        <v>549</v>
      </c>
      <c r="C140" s="773" t="s">
        <v>560</v>
      </c>
      <c r="D140" s="774"/>
      <c r="E140" s="775"/>
      <c r="F140" s="775"/>
      <c r="G140" s="775"/>
      <c r="H140" s="775"/>
      <c r="I140" s="776"/>
      <c r="J140" s="776"/>
      <c r="K140" s="775">
        <v>2</v>
      </c>
      <c r="L140" s="775"/>
      <c r="M140" s="775"/>
      <c r="N140" s="775">
        <v>2</v>
      </c>
      <c r="O140" s="775">
        <f>(Q140*25-SUM(K140:N140)*14)</f>
        <v>44</v>
      </c>
      <c r="P140" s="776" t="s">
        <v>9</v>
      </c>
      <c r="Q140" s="771">
        <v>4</v>
      </c>
      <c r="T140" s="909">
        <f t="shared" si="31"/>
        <v>0</v>
      </c>
      <c r="U140" s="909">
        <f t="shared" si="32"/>
        <v>28</v>
      </c>
      <c r="V140" s="909">
        <f t="shared" si="33"/>
        <v>0</v>
      </c>
      <c r="W140" s="909">
        <f t="shared" si="34"/>
        <v>28</v>
      </c>
      <c r="X140" s="910">
        <f t="shared" si="35"/>
        <v>56</v>
      </c>
      <c r="AF140" s="459"/>
      <c r="AG140" s="459"/>
      <c r="AK140" s="459"/>
      <c r="AL140" s="459"/>
      <c r="AM140" s="459"/>
      <c r="AN140" s="459"/>
      <c r="AO140" s="460"/>
      <c r="AP140" s="460"/>
      <c r="AS140" s="777"/>
    </row>
    <row r="141" spans="1:45" ht="10.5" thickBot="1">
      <c r="A141" s="771">
        <v>36</v>
      </c>
      <c r="B141" s="772" t="s">
        <v>559</v>
      </c>
      <c r="C141" s="773" t="s">
        <v>561</v>
      </c>
      <c r="D141" s="774"/>
      <c r="E141" s="775"/>
      <c r="F141" s="775"/>
      <c r="G141" s="775"/>
      <c r="H141" s="775"/>
      <c r="I141" s="776"/>
      <c r="J141" s="776"/>
      <c r="K141" s="775">
        <v>2</v>
      </c>
      <c r="L141" s="775"/>
      <c r="M141" s="775"/>
      <c r="N141" s="775">
        <v>2</v>
      </c>
      <c r="O141" s="775">
        <f>(Q141*25-SUM(K141:N141)*14)</f>
        <v>44</v>
      </c>
      <c r="P141" s="776" t="s">
        <v>9</v>
      </c>
      <c r="Q141" s="771">
        <v>4</v>
      </c>
      <c r="R141" s="779"/>
      <c r="S141" s="634"/>
      <c r="T141" s="909">
        <f t="shared" si="31"/>
        <v>0</v>
      </c>
      <c r="U141" s="909">
        <f t="shared" si="32"/>
        <v>28</v>
      </c>
      <c r="V141" s="909">
        <f t="shared" si="33"/>
        <v>0</v>
      </c>
      <c r="W141" s="909">
        <f t="shared" si="34"/>
        <v>28</v>
      </c>
      <c r="X141" s="910">
        <f t="shared" si="35"/>
        <v>56</v>
      </c>
      <c r="AF141" s="459"/>
      <c r="AG141" s="459"/>
      <c r="AK141" s="459"/>
      <c r="AL141" s="459"/>
      <c r="AM141" s="459"/>
      <c r="AN141" s="459"/>
      <c r="AO141" s="460"/>
      <c r="AP141" s="460"/>
      <c r="AS141" s="777"/>
    </row>
    <row r="142" spans="20:45" ht="9.75">
      <c r="T142" s="928">
        <f>SUM(T120:T141)</f>
        <v>238</v>
      </c>
      <c r="U142" s="928">
        <f>SUM(U120:U141)</f>
        <v>182</v>
      </c>
      <c r="V142" s="928">
        <f>SUM(V120:V141)</f>
        <v>336</v>
      </c>
      <c r="W142" s="928">
        <f>SUM(W120:W141)</f>
        <v>238</v>
      </c>
      <c r="X142" s="928">
        <f>SUM(X120:X141)</f>
        <v>994</v>
      </c>
      <c r="AF142" s="459"/>
      <c r="AG142" s="459"/>
      <c r="AK142" s="459"/>
      <c r="AL142" s="459"/>
      <c r="AM142" s="459"/>
      <c r="AN142" s="459"/>
      <c r="AS142" s="777"/>
    </row>
    <row r="143" spans="20:45" ht="9.75">
      <c r="T143" s="916"/>
      <c r="U143" s="916"/>
      <c r="V143" s="916"/>
      <c r="W143" s="916"/>
      <c r="X143" s="920"/>
      <c r="AF143" s="459"/>
      <c r="AG143" s="459"/>
      <c r="AK143" s="459"/>
      <c r="AL143" s="459"/>
      <c r="AM143" s="459"/>
      <c r="AN143" s="459"/>
      <c r="AS143" s="777"/>
    </row>
    <row r="144" spans="20:45" ht="9.75">
      <c r="T144" s="916"/>
      <c r="U144" s="916"/>
      <c r="V144" s="916"/>
      <c r="W144" s="916"/>
      <c r="X144" s="920"/>
      <c r="AF144" s="459"/>
      <c r="AG144" s="459"/>
      <c r="AK144" s="459"/>
      <c r="AL144" s="459"/>
      <c r="AM144" s="459"/>
      <c r="AN144" s="459"/>
      <c r="AO144" s="459"/>
      <c r="AP144" s="459"/>
      <c r="AS144" s="777"/>
    </row>
    <row r="145" spans="20:42" ht="9.75">
      <c r="T145" s="916"/>
      <c r="U145" s="916"/>
      <c r="V145" s="916"/>
      <c r="W145" s="916"/>
      <c r="X145" s="916"/>
      <c r="AO145" s="459"/>
      <c r="AP145" s="459"/>
    </row>
    <row r="146" spans="41:42" ht="9.75">
      <c r="AO146" s="459"/>
      <c r="AP146" s="459"/>
    </row>
    <row r="147" spans="25:42" ht="9.75">
      <c r="Y147" s="474"/>
      <c r="AO147" s="459"/>
      <c r="AP147" s="459"/>
    </row>
    <row r="148" spans="25:42" ht="9.75">
      <c r="Y148" s="474"/>
      <c r="AB148" s="526"/>
      <c r="AC148" s="526"/>
      <c r="AD148" s="526"/>
      <c r="AE148" s="526"/>
      <c r="AO148" s="459"/>
      <c r="AP148" s="459"/>
    </row>
    <row r="149" spans="25:42" ht="9.75">
      <c r="Y149" s="474"/>
      <c r="AO149" s="459"/>
      <c r="AP149" s="459"/>
    </row>
    <row r="150" ht="9.75">
      <c r="Y150" s="474"/>
    </row>
    <row r="151" ht="9.75">
      <c r="Y151" s="526"/>
    </row>
    <row r="152" spans="44:59" ht="9.75">
      <c r="AR152" s="778"/>
      <c r="AS152" s="734"/>
      <c r="AT152" s="734"/>
      <c r="AU152" s="734"/>
      <c r="AV152" s="734"/>
      <c r="AW152" s="734"/>
      <c r="AX152" s="734"/>
      <c r="AY152" s="734"/>
      <c r="AZ152" s="734"/>
      <c r="BA152" s="734"/>
      <c r="BB152" s="734"/>
      <c r="BC152" s="734"/>
      <c r="BD152" s="734"/>
      <c r="BE152" s="734"/>
      <c r="BF152" s="734"/>
      <c r="BG152" s="734"/>
    </row>
    <row r="153" spans="8:63" s="460" customFormat="1" ht="9.75">
      <c r="H153" s="459"/>
      <c r="I153" s="459"/>
      <c r="J153" s="459"/>
      <c r="O153" s="459"/>
      <c r="P153" s="459"/>
      <c r="Q153" s="459"/>
      <c r="R153" s="458"/>
      <c r="S153" s="459"/>
      <c r="T153" s="912"/>
      <c r="U153" s="912"/>
      <c r="V153" s="912"/>
      <c r="W153" s="912"/>
      <c r="X153" s="912"/>
      <c r="Y153" s="474"/>
      <c r="Z153" s="459"/>
      <c r="AA153" s="526"/>
      <c r="AB153" s="459"/>
      <c r="AC153" s="459"/>
      <c r="AD153" s="459"/>
      <c r="AE153" s="459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459"/>
      <c r="AR153" s="459"/>
      <c r="AS153" s="459"/>
      <c r="AT153" s="459"/>
      <c r="AU153" s="459"/>
      <c r="AV153" s="459"/>
      <c r="AW153" s="459"/>
      <c r="AX153" s="459"/>
      <c r="AY153" s="459"/>
      <c r="AZ153" s="459"/>
      <c r="BA153" s="459"/>
      <c r="BB153" s="459"/>
      <c r="BC153" s="459"/>
      <c r="BD153" s="459"/>
      <c r="BE153" s="459"/>
      <c r="BF153" s="459"/>
      <c r="BG153" s="459"/>
      <c r="BH153" s="459"/>
      <c r="BI153" s="459"/>
      <c r="BJ153" s="459"/>
      <c r="BK153" s="459"/>
    </row>
    <row r="154" spans="8:63" s="460" customFormat="1" ht="9.75">
      <c r="H154" s="459"/>
      <c r="I154" s="459"/>
      <c r="J154" s="459"/>
      <c r="O154" s="459"/>
      <c r="P154" s="459"/>
      <c r="Q154" s="459"/>
      <c r="R154" s="458"/>
      <c r="S154" s="459"/>
      <c r="T154" s="912"/>
      <c r="U154" s="912"/>
      <c r="V154" s="912"/>
      <c r="W154" s="912"/>
      <c r="X154" s="912"/>
      <c r="Y154" s="474"/>
      <c r="Z154" s="459"/>
      <c r="AA154" s="459"/>
      <c r="AB154" s="459"/>
      <c r="AC154" s="459"/>
      <c r="AD154" s="459"/>
      <c r="AE154" s="459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459"/>
      <c r="AR154" s="459"/>
      <c r="AS154" s="459"/>
      <c r="AT154" s="459"/>
      <c r="AU154" s="459"/>
      <c r="AV154" s="459"/>
      <c r="AW154" s="459"/>
      <c r="AX154" s="459"/>
      <c r="AY154" s="459"/>
      <c r="AZ154" s="459"/>
      <c r="BA154" s="459"/>
      <c r="BB154" s="459"/>
      <c r="BC154" s="459"/>
      <c r="BD154" s="459"/>
      <c r="BE154" s="459"/>
      <c r="BF154" s="459"/>
      <c r="BG154" s="459"/>
      <c r="BH154" s="459"/>
      <c r="BI154" s="459"/>
      <c r="BJ154" s="459"/>
      <c r="BK154" s="459"/>
    </row>
    <row r="155" ht="9.75">
      <c r="Y155" s="474"/>
    </row>
    <row r="156" spans="25:26" ht="9.75">
      <c r="Y156" s="474"/>
      <c r="Z156" s="526"/>
    </row>
    <row r="157" ht="9.75">
      <c r="Y157" s="473"/>
    </row>
  </sheetData>
  <sheetProtection/>
  <mergeCells count="109">
    <mergeCell ref="M2:M3"/>
    <mergeCell ref="N2:N3"/>
    <mergeCell ref="A1:A3"/>
    <mergeCell ref="B1:B3"/>
    <mergeCell ref="C1:C3"/>
    <mergeCell ref="D1:J1"/>
    <mergeCell ref="K1:Q1"/>
    <mergeCell ref="D2:D3"/>
    <mergeCell ref="E2:E3"/>
    <mergeCell ref="F2:F3"/>
    <mergeCell ref="I2:I3"/>
    <mergeCell ref="J2:J3"/>
    <mergeCell ref="K2:K3"/>
    <mergeCell ref="L2:L3"/>
    <mergeCell ref="G2:G3"/>
    <mergeCell ref="H2:H3"/>
    <mergeCell ref="AG17:AK17"/>
    <mergeCell ref="Q2:Q3"/>
    <mergeCell ref="T2:U2"/>
    <mergeCell ref="V2:W2"/>
    <mergeCell ref="AD10:AE10"/>
    <mergeCell ref="O2:O3"/>
    <mergeCell ref="P2:P3"/>
    <mergeCell ref="AE16:AF16"/>
    <mergeCell ref="AG16:AK16"/>
    <mergeCell ref="D89:D90"/>
    <mergeCell ref="E89:E90"/>
    <mergeCell ref="F89:F90"/>
    <mergeCell ref="G89:G90"/>
    <mergeCell ref="H89:H90"/>
    <mergeCell ref="I89:I90"/>
    <mergeCell ref="J89:J90"/>
    <mergeCell ref="Y16:Z16"/>
    <mergeCell ref="Y84:Z84"/>
    <mergeCell ref="P91:P92"/>
    <mergeCell ref="Q97:Q98"/>
    <mergeCell ref="M97:M98"/>
    <mergeCell ref="N97:N98"/>
    <mergeCell ref="P97:P98"/>
    <mergeCell ref="O97:O98"/>
    <mergeCell ref="K91:K92"/>
    <mergeCell ref="H99:H100"/>
    <mergeCell ref="L97:L98"/>
    <mergeCell ref="D97:D98"/>
    <mergeCell ref="E97:E98"/>
    <mergeCell ref="F97:F98"/>
    <mergeCell ref="G97:G98"/>
    <mergeCell ref="H101:H102"/>
    <mergeCell ref="I101:I102"/>
    <mergeCell ref="L101:L102"/>
    <mergeCell ref="I99:I100"/>
    <mergeCell ref="J99:J100"/>
    <mergeCell ref="O91:O92"/>
    <mergeCell ref="H97:H98"/>
    <mergeCell ref="I97:I98"/>
    <mergeCell ref="J97:J98"/>
    <mergeCell ref="K97:K98"/>
    <mergeCell ref="L91:L92"/>
    <mergeCell ref="M91:M92"/>
    <mergeCell ref="N91:N92"/>
    <mergeCell ref="J101:J102"/>
    <mergeCell ref="K101:K102"/>
    <mergeCell ref="L99:L100"/>
    <mergeCell ref="N101:N102"/>
    <mergeCell ref="K99:K100"/>
    <mergeCell ref="D101:D102"/>
    <mergeCell ref="E101:E102"/>
    <mergeCell ref="F101:F102"/>
    <mergeCell ref="G101:G102"/>
    <mergeCell ref="D99:D100"/>
    <mergeCell ref="E99:E100"/>
    <mergeCell ref="F99:F100"/>
    <mergeCell ref="G99:G100"/>
    <mergeCell ref="K103:K104"/>
    <mergeCell ref="J105:J106"/>
    <mergeCell ref="K105:K106"/>
    <mergeCell ref="P105:P106"/>
    <mergeCell ref="L103:L104"/>
    <mergeCell ref="M103:M104"/>
    <mergeCell ref="J103:J104"/>
    <mergeCell ref="P103:P104"/>
    <mergeCell ref="Q99:Q100"/>
    <mergeCell ref="P101:P102"/>
    <mergeCell ref="Q101:Q102"/>
    <mergeCell ref="M99:M100"/>
    <mergeCell ref="N99:N100"/>
    <mergeCell ref="O99:O100"/>
    <mergeCell ref="M101:M102"/>
    <mergeCell ref="O101:O102"/>
    <mergeCell ref="P99:P100"/>
    <mergeCell ref="D103:D104"/>
    <mergeCell ref="E103:E104"/>
    <mergeCell ref="F103:F104"/>
    <mergeCell ref="G103:G104"/>
    <mergeCell ref="H103:H104"/>
    <mergeCell ref="I103:I104"/>
    <mergeCell ref="Q103:Q104"/>
    <mergeCell ref="N103:N104"/>
    <mergeCell ref="O103:O104"/>
    <mergeCell ref="Q105:Q106"/>
    <mergeCell ref="L105:L106"/>
    <mergeCell ref="M105:M106"/>
    <mergeCell ref="O105:O106"/>
    <mergeCell ref="D105:D106"/>
    <mergeCell ref="E105:E106"/>
    <mergeCell ref="F105:F106"/>
    <mergeCell ref="G105:G106"/>
    <mergeCell ref="H105:H106"/>
    <mergeCell ref="I105:I10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0">
      <selection activeCell="M7" sqref="M7"/>
    </sheetView>
  </sheetViews>
  <sheetFormatPr defaultColWidth="9.140625" defaultRowHeight="12.75"/>
  <cols>
    <col min="1" max="1" width="3.28125" style="210" customWidth="1"/>
    <col min="2" max="2" width="30.421875" style="210" customWidth="1"/>
    <col min="3" max="3" width="11.00390625" style="3" customWidth="1"/>
    <col min="4" max="4" width="3.421875" style="15" customWidth="1"/>
    <col min="5" max="6" width="2.421875" style="15" customWidth="1"/>
    <col min="7" max="7" width="2.140625" style="15" customWidth="1"/>
    <col min="8" max="8" width="3.421875" style="15" customWidth="1"/>
    <col min="9" max="9" width="6.421875" style="15" customWidth="1"/>
    <col min="10" max="10" width="5.00390625" style="15" customWidth="1"/>
    <col min="11" max="11" width="3.421875" style="15" customWidth="1"/>
    <col min="12" max="12" width="2.421875" style="15" customWidth="1"/>
    <col min="13" max="14" width="2.7109375" style="15" customWidth="1"/>
    <col min="15" max="15" width="3.28125" style="15" customWidth="1"/>
    <col min="16" max="16" width="6.57421875" style="15" customWidth="1"/>
    <col min="17" max="17" width="5.00390625" style="15" customWidth="1"/>
    <col min="18" max="18" width="9.140625" style="15" customWidth="1"/>
    <col min="19" max="19" width="3.7109375" style="15" customWidth="1"/>
    <col min="20" max="23" width="9.140625" style="15" customWidth="1"/>
    <col min="24" max="24" width="10.7109375" style="15" customWidth="1"/>
    <col min="25" max="16384" width="9.140625" style="15" customWidth="1"/>
  </cols>
  <sheetData>
    <row r="1" spans="1:3" ht="12.75">
      <c r="A1" s="1077" t="s">
        <v>72</v>
      </c>
      <c r="B1" s="1077"/>
      <c r="C1" s="1077"/>
    </row>
    <row r="2" spans="1:3" s="210" customFormat="1" ht="12.75">
      <c r="A2" s="25" t="s">
        <v>562</v>
      </c>
      <c r="B2" s="88"/>
      <c r="C2" s="88"/>
    </row>
    <row r="3" spans="1:19" ht="15">
      <c r="A3" s="1094" t="s">
        <v>21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28"/>
      <c r="R3" s="7"/>
      <c r="S3" s="7"/>
    </row>
    <row r="4" spans="1:20" s="210" customFormat="1" ht="12.75">
      <c r="A4" s="15"/>
      <c r="B4" s="15"/>
      <c r="C4" s="3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19"/>
      <c r="S4" s="19"/>
      <c r="T4" s="19"/>
    </row>
    <row r="5" spans="1:58" ht="12.75">
      <c r="A5" s="1084" t="s">
        <v>76</v>
      </c>
      <c r="B5" s="1084"/>
      <c r="C5" s="1084"/>
      <c r="D5" s="1084"/>
      <c r="E5" s="1084"/>
      <c r="F5" s="1084"/>
      <c r="G5" s="20"/>
      <c r="H5" s="20"/>
      <c r="I5" s="8"/>
      <c r="J5" s="8"/>
      <c r="K5" s="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14"/>
      <c r="BD5" s="14"/>
      <c r="BE5" s="13"/>
      <c r="BF5" s="13"/>
    </row>
    <row r="6" spans="1:20" s="210" customFormat="1" ht="12.75">
      <c r="A6" s="1081" t="s">
        <v>606</v>
      </c>
      <c r="B6" s="1082"/>
      <c r="C6" s="1082"/>
      <c r="D6" s="1082"/>
      <c r="E6" s="1082"/>
      <c r="F6" s="1082"/>
      <c r="G6" s="24"/>
      <c r="H6" s="24"/>
      <c r="L6" s="8"/>
      <c r="M6" s="8"/>
      <c r="N6" s="8"/>
      <c r="O6" s="8"/>
      <c r="P6" s="8"/>
      <c r="Q6" s="8"/>
      <c r="R6" s="25"/>
      <c r="S6" s="25"/>
      <c r="T6" s="19"/>
    </row>
    <row r="7" spans="1:20" s="210" customFormat="1" ht="12.75">
      <c r="A7" s="1083" t="s">
        <v>257</v>
      </c>
      <c r="B7" s="1083"/>
      <c r="C7" s="1083"/>
      <c r="D7" s="1083"/>
      <c r="E7" s="1083"/>
      <c r="F7" s="1083"/>
      <c r="G7" s="8"/>
      <c r="H7" s="8"/>
      <c r="I7" s="8"/>
      <c r="J7" s="18"/>
      <c r="K7" s="18"/>
      <c r="L7" s="18"/>
      <c r="M7" s="18"/>
      <c r="N7" s="18"/>
      <c r="O7" s="18"/>
      <c r="P7" s="18"/>
      <c r="Q7" s="18"/>
      <c r="R7" s="5"/>
      <c r="S7" s="19"/>
      <c r="T7" s="19"/>
    </row>
    <row r="8" spans="1:20" s="210" customFormat="1" ht="12.75">
      <c r="A8" s="1083" t="s">
        <v>77</v>
      </c>
      <c r="B8" s="1083"/>
      <c r="C8" s="1083"/>
      <c r="D8" s="1083"/>
      <c r="E8" s="1083"/>
      <c r="F8" s="108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s="210" customFormat="1" ht="12.75">
      <c r="A9" s="1084" t="s">
        <v>605</v>
      </c>
      <c r="B9" s="1084"/>
      <c r="C9" s="1084"/>
      <c r="D9" s="1084"/>
      <c r="E9" s="1084"/>
      <c r="F9" s="108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1" ht="18.75" customHeight="1" thickBot="1">
      <c r="A10" s="1095" t="s">
        <v>5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S10" s="268"/>
      <c r="T10" s="268"/>
      <c r="U10" s="212"/>
    </row>
    <row r="11" spans="1:20" ht="13.5" customHeight="1">
      <c r="A11" s="1057" t="s">
        <v>15</v>
      </c>
      <c r="B11" s="1086" t="s">
        <v>6</v>
      </c>
      <c r="C11" s="1057" t="s">
        <v>387</v>
      </c>
      <c r="D11" s="1060" t="s">
        <v>7</v>
      </c>
      <c r="E11" s="1061"/>
      <c r="F11" s="1061"/>
      <c r="G11" s="1061"/>
      <c r="H11" s="1061"/>
      <c r="I11" s="1061"/>
      <c r="J11" s="1062"/>
      <c r="K11" s="1060" t="s">
        <v>8</v>
      </c>
      <c r="L11" s="1061"/>
      <c r="M11" s="1061"/>
      <c r="N11" s="1061"/>
      <c r="O11" s="1061"/>
      <c r="P11" s="1061"/>
      <c r="Q11" s="1062"/>
      <c r="S11" s="268"/>
      <c r="T11" s="268"/>
    </row>
    <row r="12" spans="1:20" ht="12.75" customHeight="1">
      <c r="A12" s="1058"/>
      <c r="B12" s="1087"/>
      <c r="C12" s="1058"/>
      <c r="D12" s="1055" t="s">
        <v>9</v>
      </c>
      <c r="E12" s="1053" t="s">
        <v>10</v>
      </c>
      <c r="F12" s="1053" t="s">
        <v>11</v>
      </c>
      <c r="G12" s="1053" t="s">
        <v>12</v>
      </c>
      <c r="H12" s="1053" t="s">
        <v>40</v>
      </c>
      <c r="I12" s="1063" t="s">
        <v>16</v>
      </c>
      <c r="J12" s="1065" t="s">
        <v>17</v>
      </c>
      <c r="K12" s="1055" t="s">
        <v>9</v>
      </c>
      <c r="L12" s="1053" t="s">
        <v>10</v>
      </c>
      <c r="M12" s="1053" t="s">
        <v>11</v>
      </c>
      <c r="N12" s="1053" t="s">
        <v>12</v>
      </c>
      <c r="O12" s="1053" t="s">
        <v>40</v>
      </c>
      <c r="P12" s="1063" t="s">
        <v>16</v>
      </c>
      <c r="Q12" s="1065" t="s">
        <v>17</v>
      </c>
      <c r="S12" s="268"/>
      <c r="T12" s="268"/>
    </row>
    <row r="13" spans="1:20" ht="13.5" thickBot="1">
      <c r="A13" s="1085"/>
      <c r="B13" s="1088"/>
      <c r="C13" s="1059"/>
      <c r="D13" s="1056"/>
      <c r="E13" s="1027"/>
      <c r="F13" s="1054"/>
      <c r="G13" s="1054"/>
      <c r="H13" s="1054"/>
      <c r="I13" s="1064"/>
      <c r="J13" s="1066"/>
      <c r="K13" s="1056"/>
      <c r="L13" s="1054"/>
      <c r="M13" s="1027"/>
      <c r="N13" s="1054"/>
      <c r="O13" s="1054"/>
      <c r="P13" s="1064"/>
      <c r="Q13" s="1066"/>
      <c r="S13" s="268"/>
      <c r="T13" s="268"/>
    </row>
    <row r="14" spans="1:20" ht="12.75">
      <c r="A14" s="46">
        <v>1</v>
      </c>
      <c r="B14" s="272" t="s">
        <v>80</v>
      </c>
      <c r="C14" s="276" t="s">
        <v>183</v>
      </c>
      <c r="D14" s="102">
        <v>2</v>
      </c>
      <c r="E14" s="86">
        <v>2</v>
      </c>
      <c r="F14" s="86"/>
      <c r="G14" s="86"/>
      <c r="H14" s="86">
        <f>(J14*25-SUM(D14:G14)*14)</f>
        <v>69</v>
      </c>
      <c r="I14" s="213" t="s">
        <v>81</v>
      </c>
      <c r="J14" s="188">
        <f>INT((3*D14+1.5*E14+1.5*F14+2*G14)*0.56)</f>
        <v>5</v>
      </c>
      <c r="K14" s="90"/>
      <c r="L14" s="91"/>
      <c r="M14" s="91"/>
      <c r="N14" s="91"/>
      <c r="O14" s="91"/>
      <c r="P14" s="91"/>
      <c r="Q14" s="269"/>
      <c r="R14" s="268"/>
      <c r="S14" s="268"/>
      <c r="T14" s="268"/>
    </row>
    <row r="15" spans="1:20" ht="21">
      <c r="A15" s="12">
        <v>2</v>
      </c>
      <c r="B15" s="273" t="s">
        <v>135</v>
      </c>
      <c r="C15" s="277" t="s">
        <v>182</v>
      </c>
      <c r="D15" s="102">
        <v>2</v>
      </c>
      <c r="E15" s="86">
        <v>2</v>
      </c>
      <c r="F15" s="86"/>
      <c r="G15" s="86"/>
      <c r="H15" s="86">
        <f aca="true" t="shared" si="0" ref="H15:H22">(J15*25-SUM(D15:G15)*14)</f>
        <v>69</v>
      </c>
      <c r="I15" s="86" t="s">
        <v>81</v>
      </c>
      <c r="J15" s="188">
        <f>INT((3*D15+1.5*E15+1.5*F15+2*G15)*0.56)</f>
        <v>5</v>
      </c>
      <c r="K15" s="92"/>
      <c r="L15" s="93"/>
      <c r="M15" s="93"/>
      <c r="N15" s="93"/>
      <c r="O15" s="93"/>
      <c r="P15" s="93"/>
      <c r="Q15" s="101"/>
      <c r="R15" s="268"/>
      <c r="S15" s="268"/>
      <c r="T15" s="268"/>
    </row>
    <row r="16" spans="1:20" ht="12.75">
      <c r="A16" s="12">
        <v>3</v>
      </c>
      <c r="B16" s="274" t="s">
        <v>123</v>
      </c>
      <c r="C16" s="277" t="s">
        <v>184</v>
      </c>
      <c r="D16" s="102">
        <v>2</v>
      </c>
      <c r="E16" s="86"/>
      <c r="F16" s="86">
        <v>1</v>
      </c>
      <c r="G16" s="86"/>
      <c r="H16" s="86">
        <f t="shared" si="0"/>
        <v>58</v>
      </c>
      <c r="I16" s="86" t="s">
        <v>81</v>
      </c>
      <c r="J16" s="188">
        <f>INT((3*D16+1.5*E16+1.5*F16+2*G16)*0.56)</f>
        <v>4</v>
      </c>
      <c r="K16" s="92"/>
      <c r="L16" s="93"/>
      <c r="M16" s="93"/>
      <c r="N16" s="93"/>
      <c r="O16" s="93"/>
      <c r="P16" s="93"/>
      <c r="Q16" s="101"/>
      <c r="R16" s="268"/>
      <c r="S16" s="268"/>
      <c r="T16" s="268"/>
    </row>
    <row r="17" spans="1:20" ht="12.75">
      <c r="A17" s="12">
        <v>4</v>
      </c>
      <c r="B17" s="274" t="s">
        <v>87</v>
      </c>
      <c r="C17" s="277" t="s">
        <v>185</v>
      </c>
      <c r="D17" s="102">
        <v>2</v>
      </c>
      <c r="E17" s="86"/>
      <c r="F17" s="86">
        <v>1</v>
      </c>
      <c r="G17" s="86"/>
      <c r="H17" s="86">
        <f t="shared" si="0"/>
        <v>33</v>
      </c>
      <c r="I17" s="86" t="s">
        <v>9</v>
      </c>
      <c r="J17" s="188">
        <v>3</v>
      </c>
      <c r="K17" s="94"/>
      <c r="L17" s="95"/>
      <c r="M17" s="95"/>
      <c r="N17" s="95"/>
      <c r="O17" s="95"/>
      <c r="P17" s="95"/>
      <c r="Q17" s="101"/>
      <c r="R17" s="268"/>
      <c r="S17" s="268"/>
      <c r="T17" s="268"/>
    </row>
    <row r="18" spans="1:20" ht="12.75">
      <c r="A18" s="12">
        <v>5</v>
      </c>
      <c r="B18" s="274" t="s">
        <v>90</v>
      </c>
      <c r="C18" s="277" t="s">
        <v>186</v>
      </c>
      <c r="D18" s="102">
        <v>2</v>
      </c>
      <c r="E18" s="86"/>
      <c r="F18" s="86">
        <v>2</v>
      </c>
      <c r="G18" s="96"/>
      <c r="H18" s="86">
        <f t="shared" si="0"/>
        <v>69</v>
      </c>
      <c r="I18" s="96" t="s">
        <v>81</v>
      </c>
      <c r="J18" s="188">
        <f>INT((3*D18+1.5*E18+1.5*F18+2*G18)*0.56)</f>
        <v>5</v>
      </c>
      <c r="K18" s="97"/>
      <c r="L18" s="98"/>
      <c r="M18" s="98"/>
      <c r="N18" s="98"/>
      <c r="O18" s="98"/>
      <c r="P18" s="98"/>
      <c r="Q18" s="101"/>
      <c r="R18" s="268"/>
      <c r="S18" s="268"/>
      <c r="T18" s="268"/>
    </row>
    <row r="19" spans="1:20" ht="12.75">
      <c r="A19" s="12">
        <v>6</v>
      </c>
      <c r="B19" s="274" t="s">
        <v>91</v>
      </c>
      <c r="C19" s="277" t="s">
        <v>187</v>
      </c>
      <c r="D19" s="102">
        <v>1</v>
      </c>
      <c r="E19" s="86"/>
      <c r="F19" s="86">
        <v>2</v>
      </c>
      <c r="G19" s="99"/>
      <c r="H19" s="86">
        <f t="shared" si="0"/>
        <v>33</v>
      </c>
      <c r="I19" s="99" t="s">
        <v>9</v>
      </c>
      <c r="J19" s="188">
        <f>INT((3*D19+1.5*E19+1.5*F19+2*G19)*0.56)</f>
        <v>3</v>
      </c>
      <c r="K19" s="92"/>
      <c r="L19" s="99"/>
      <c r="M19" s="99"/>
      <c r="N19" s="99"/>
      <c r="O19" s="99"/>
      <c r="P19" s="99"/>
      <c r="Q19" s="101"/>
      <c r="R19" s="268"/>
      <c r="S19" s="268"/>
      <c r="T19" s="268"/>
    </row>
    <row r="20" spans="1:20" ht="12.75">
      <c r="A20" s="12">
        <v>7</v>
      </c>
      <c r="B20" s="274" t="s">
        <v>130</v>
      </c>
      <c r="C20" s="278" t="s">
        <v>188</v>
      </c>
      <c r="D20" s="102">
        <v>2</v>
      </c>
      <c r="E20" s="86"/>
      <c r="F20" s="86"/>
      <c r="G20" s="99"/>
      <c r="H20" s="86">
        <f t="shared" si="0"/>
        <v>22</v>
      </c>
      <c r="I20" s="99" t="s">
        <v>81</v>
      </c>
      <c r="J20" s="188">
        <v>2</v>
      </c>
      <c r="K20" s="92"/>
      <c r="L20" s="99"/>
      <c r="M20" s="99"/>
      <c r="N20" s="99"/>
      <c r="O20" s="99"/>
      <c r="P20" s="99"/>
      <c r="Q20" s="101"/>
      <c r="R20" s="268"/>
      <c r="S20" s="268"/>
      <c r="T20" s="268"/>
    </row>
    <row r="21" spans="1:20" ht="12.75">
      <c r="A21" s="12">
        <v>8</v>
      </c>
      <c r="B21" s="274" t="s">
        <v>92</v>
      </c>
      <c r="C21" s="279" t="s">
        <v>189</v>
      </c>
      <c r="D21" s="102"/>
      <c r="E21" s="86">
        <v>1</v>
      </c>
      <c r="F21" s="86"/>
      <c r="G21" s="99"/>
      <c r="H21" s="86">
        <f t="shared" si="0"/>
        <v>11</v>
      </c>
      <c r="I21" s="99" t="s">
        <v>9</v>
      </c>
      <c r="J21" s="188">
        <v>1</v>
      </c>
      <c r="K21" s="92"/>
      <c r="L21" s="99"/>
      <c r="M21" s="99"/>
      <c r="N21" s="99"/>
      <c r="O21" s="99"/>
      <c r="P21" s="99"/>
      <c r="Q21" s="101"/>
      <c r="R21" s="268"/>
      <c r="S21" s="268"/>
      <c r="T21" s="268"/>
    </row>
    <row r="22" spans="1:20" ht="12.75">
      <c r="A22" s="12">
        <v>9</v>
      </c>
      <c r="B22" s="275" t="s">
        <v>266</v>
      </c>
      <c r="C22" s="279" t="s">
        <v>190</v>
      </c>
      <c r="D22" s="214"/>
      <c r="E22" s="215">
        <v>2</v>
      </c>
      <c r="F22" s="215"/>
      <c r="G22" s="99"/>
      <c r="H22" s="86">
        <f t="shared" si="0"/>
        <v>22</v>
      </c>
      <c r="I22" s="99" t="s">
        <v>9</v>
      </c>
      <c r="J22" s="188">
        <v>2</v>
      </c>
      <c r="K22" s="92"/>
      <c r="L22" s="99"/>
      <c r="M22" s="99"/>
      <c r="N22" s="99"/>
      <c r="O22" s="99"/>
      <c r="P22" s="99"/>
      <c r="Q22" s="101"/>
      <c r="R22" s="268"/>
      <c r="S22" s="268"/>
      <c r="T22" s="268"/>
    </row>
    <row r="23" spans="1:20" ht="12.75">
      <c r="A23" s="12">
        <v>10</v>
      </c>
      <c r="B23" s="274" t="s">
        <v>131</v>
      </c>
      <c r="C23" s="279" t="s">
        <v>191</v>
      </c>
      <c r="D23" s="102"/>
      <c r="E23" s="86"/>
      <c r="F23" s="86"/>
      <c r="G23" s="100"/>
      <c r="H23" s="86"/>
      <c r="I23" s="100"/>
      <c r="J23" s="188"/>
      <c r="K23" s="216">
        <v>2</v>
      </c>
      <c r="L23" s="86">
        <v>1</v>
      </c>
      <c r="M23" s="86">
        <v>1</v>
      </c>
      <c r="N23" s="100"/>
      <c r="O23" s="100">
        <f>(Q23*25-SUM(K23:N23)*14)</f>
        <v>69</v>
      </c>
      <c r="P23" s="100" t="s">
        <v>81</v>
      </c>
      <c r="Q23" s="101">
        <f>INT((3*K23+1.5*L23+1.5*M23+2*N23)*0.56)</f>
        <v>5</v>
      </c>
      <c r="R23" s="268"/>
      <c r="S23" s="268"/>
      <c r="T23" s="268"/>
    </row>
    <row r="24" spans="1:20" ht="12.75">
      <c r="A24" s="12">
        <v>11</v>
      </c>
      <c r="B24" s="274" t="s">
        <v>124</v>
      </c>
      <c r="C24" s="277" t="s">
        <v>192</v>
      </c>
      <c r="D24" s="102"/>
      <c r="E24" s="86"/>
      <c r="F24" s="86"/>
      <c r="G24" s="100"/>
      <c r="H24" s="86"/>
      <c r="I24" s="100"/>
      <c r="J24" s="101"/>
      <c r="K24" s="102">
        <v>2</v>
      </c>
      <c r="L24" s="86"/>
      <c r="M24" s="86">
        <v>2</v>
      </c>
      <c r="N24" s="100"/>
      <c r="O24" s="100">
        <f aca="true" t="shared" si="1" ref="O24:O30">(Q24*25-SUM(K24:N24)*14)</f>
        <v>69</v>
      </c>
      <c r="P24" s="100" t="s">
        <v>81</v>
      </c>
      <c r="Q24" s="101">
        <f>INT((3*K24+1.5*L24+1.5*M24+2*N24)*0.56)</f>
        <v>5</v>
      </c>
      <c r="R24" s="268"/>
      <c r="S24" s="268"/>
      <c r="T24" s="268"/>
    </row>
    <row r="25" spans="1:20" ht="12.75">
      <c r="A25" s="12">
        <v>12</v>
      </c>
      <c r="B25" s="274" t="s">
        <v>94</v>
      </c>
      <c r="C25" s="279" t="s">
        <v>193</v>
      </c>
      <c r="D25" s="102"/>
      <c r="E25" s="86"/>
      <c r="F25" s="86"/>
      <c r="G25" s="100"/>
      <c r="H25" s="86"/>
      <c r="I25" s="100"/>
      <c r="J25" s="101"/>
      <c r="K25" s="102">
        <v>2</v>
      </c>
      <c r="L25" s="86">
        <v>1</v>
      </c>
      <c r="M25" s="86">
        <v>1</v>
      </c>
      <c r="N25" s="100"/>
      <c r="O25" s="100">
        <f t="shared" si="1"/>
        <v>69</v>
      </c>
      <c r="P25" s="100" t="s">
        <v>81</v>
      </c>
      <c r="Q25" s="101">
        <f>INT((3*K25+1.5*L25+1.5*M25+2*N25)*0.56)</f>
        <v>5</v>
      </c>
      <c r="R25" s="268"/>
      <c r="S25" s="268"/>
      <c r="T25" s="268"/>
    </row>
    <row r="26" spans="1:20" ht="12.75">
      <c r="A26" s="12">
        <v>13</v>
      </c>
      <c r="B26" s="274" t="s">
        <v>95</v>
      </c>
      <c r="C26" s="278" t="s">
        <v>194</v>
      </c>
      <c r="D26" s="102"/>
      <c r="E26" s="86"/>
      <c r="F26" s="86"/>
      <c r="G26" s="100"/>
      <c r="H26" s="86"/>
      <c r="I26" s="100"/>
      <c r="J26" s="101"/>
      <c r="K26" s="102">
        <v>2</v>
      </c>
      <c r="L26" s="86"/>
      <c r="M26" s="86">
        <v>2</v>
      </c>
      <c r="N26" s="100"/>
      <c r="O26" s="100">
        <f t="shared" si="1"/>
        <v>69</v>
      </c>
      <c r="P26" s="100" t="s">
        <v>81</v>
      </c>
      <c r="Q26" s="101">
        <f>INT((3*K26+1.5*L26+1.5*M26+2*N26)*0.56)</f>
        <v>5</v>
      </c>
      <c r="R26" s="268"/>
      <c r="S26" s="268"/>
      <c r="T26" s="268"/>
    </row>
    <row r="27" spans="1:20" ht="12.75">
      <c r="A27" s="12">
        <v>14</v>
      </c>
      <c r="B27" s="274" t="s">
        <v>96</v>
      </c>
      <c r="C27" s="278" t="s">
        <v>267</v>
      </c>
      <c r="D27" s="102"/>
      <c r="E27" s="86"/>
      <c r="F27" s="86"/>
      <c r="G27" s="100"/>
      <c r="H27" s="86"/>
      <c r="I27" s="100"/>
      <c r="J27" s="101"/>
      <c r="K27" s="102"/>
      <c r="L27" s="86">
        <v>2</v>
      </c>
      <c r="M27" s="86"/>
      <c r="N27" s="100"/>
      <c r="O27" s="100">
        <f t="shared" si="1"/>
        <v>22</v>
      </c>
      <c r="P27" s="100" t="s">
        <v>9</v>
      </c>
      <c r="Q27" s="101">
        <v>2</v>
      </c>
      <c r="R27" s="268"/>
      <c r="S27" s="268"/>
      <c r="T27" s="268"/>
    </row>
    <row r="28" spans="1:20" ht="12.75">
      <c r="A28" s="12">
        <v>15</v>
      </c>
      <c r="B28" s="274" t="s">
        <v>132</v>
      </c>
      <c r="C28" s="278" t="s">
        <v>268</v>
      </c>
      <c r="D28" s="102"/>
      <c r="E28" s="86"/>
      <c r="F28" s="86"/>
      <c r="G28" s="100"/>
      <c r="H28" s="86"/>
      <c r="I28" s="100"/>
      <c r="J28" s="101"/>
      <c r="K28" s="102">
        <v>2</v>
      </c>
      <c r="L28" s="86"/>
      <c r="M28" s="86">
        <v>3</v>
      </c>
      <c r="N28" s="100"/>
      <c r="O28" s="100">
        <f t="shared" si="1"/>
        <v>55</v>
      </c>
      <c r="P28" s="100" t="s">
        <v>9</v>
      </c>
      <c r="Q28" s="101">
        <f>INT((3*K28+1.5*L28+1.5*M28+2*N28)*0.56)</f>
        <v>5</v>
      </c>
      <c r="R28" s="268"/>
      <c r="S28" s="268"/>
      <c r="T28" s="268"/>
    </row>
    <row r="29" spans="1:20" ht="12.75">
      <c r="A29" s="12">
        <v>16</v>
      </c>
      <c r="B29" s="274" t="s">
        <v>97</v>
      </c>
      <c r="C29" s="278" t="s">
        <v>269</v>
      </c>
      <c r="D29" s="102"/>
      <c r="E29" s="86"/>
      <c r="F29" s="86"/>
      <c r="G29" s="100"/>
      <c r="H29" s="86"/>
      <c r="I29" s="100"/>
      <c r="J29" s="101"/>
      <c r="K29" s="102"/>
      <c r="L29" s="86">
        <v>1</v>
      </c>
      <c r="M29" s="86"/>
      <c r="N29" s="100"/>
      <c r="O29" s="100">
        <f t="shared" si="1"/>
        <v>11</v>
      </c>
      <c r="P29" s="99" t="s">
        <v>9</v>
      </c>
      <c r="Q29" s="271">
        <v>1</v>
      </c>
      <c r="R29" s="268"/>
      <c r="S29" s="268"/>
      <c r="T29" s="268"/>
    </row>
    <row r="30" spans="1:20" ht="13.5" thickBot="1">
      <c r="A30" s="12">
        <v>17</v>
      </c>
      <c r="B30" s="280" t="s">
        <v>302</v>
      </c>
      <c r="C30" s="281" t="s">
        <v>195</v>
      </c>
      <c r="D30" s="282"/>
      <c r="E30" s="218"/>
      <c r="F30" s="218"/>
      <c r="G30" s="59"/>
      <c r="H30" s="86"/>
      <c r="I30" s="59"/>
      <c r="J30" s="103"/>
      <c r="K30" s="217"/>
      <c r="L30" s="218">
        <v>2</v>
      </c>
      <c r="M30" s="218"/>
      <c r="N30" s="59"/>
      <c r="O30" s="100">
        <f t="shared" si="1"/>
        <v>22</v>
      </c>
      <c r="P30" s="59" t="s">
        <v>9</v>
      </c>
      <c r="Q30" s="103">
        <v>2</v>
      </c>
      <c r="R30" s="268"/>
      <c r="S30" s="268"/>
      <c r="T30" s="268"/>
    </row>
    <row r="31" spans="1:20" ht="12.75">
      <c r="A31" s="1078" t="s">
        <v>23</v>
      </c>
      <c r="B31" s="1033"/>
      <c r="C31" s="1034"/>
      <c r="D31" s="35">
        <f>SUM(D14:D30)</f>
        <v>13</v>
      </c>
      <c r="E31" s="62">
        <f>SUM(E14:E30)</f>
        <v>7</v>
      </c>
      <c r="F31" s="62">
        <f>SUM(F14:F30)</f>
        <v>6</v>
      </c>
      <c r="G31" s="891"/>
      <c r="H31" s="1040">
        <f>SUM(H14:H30)</f>
        <v>386</v>
      </c>
      <c r="I31" s="224" t="s">
        <v>196</v>
      </c>
      <c r="J31" s="1092">
        <f aca="true" t="shared" si="2" ref="J31:O31">SUM(J14:J30)</f>
        <v>30</v>
      </c>
      <c r="K31" s="36">
        <f t="shared" si="2"/>
        <v>10</v>
      </c>
      <c r="L31" s="37">
        <f t="shared" si="2"/>
        <v>7</v>
      </c>
      <c r="M31" s="37">
        <f t="shared" si="2"/>
        <v>9</v>
      </c>
      <c r="N31" s="892"/>
      <c r="O31" s="1040">
        <f t="shared" si="2"/>
        <v>386</v>
      </c>
      <c r="P31" s="226" t="s">
        <v>198</v>
      </c>
      <c r="Q31" s="1068">
        <f>SUM(Q14:Q30)</f>
        <v>30</v>
      </c>
      <c r="R31" s="268"/>
      <c r="S31" s="268"/>
      <c r="T31" s="268"/>
    </row>
    <row r="32" spans="1:20" ht="13.5" thickBot="1">
      <c r="A32" s="1037"/>
      <c r="B32" s="1079"/>
      <c r="C32" s="1080"/>
      <c r="D32" s="1073">
        <f>SUM(D31:G31)</f>
        <v>26</v>
      </c>
      <c r="E32" s="1074"/>
      <c r="F32" s="1074"/>
      <c r="G32" s="1075"/>
      <c r="H32" s="1076"/>
      <c r="I32" s="225" t="s">
        <v>199</v>
      </c>
      <c r="J32" s="1093"/>
      <c r="K32" s="1073">
        <f>SUM(K31:N31)</f>
        <v>26</v>
      </c>
      <c r="L32" s="1074"/>
      <c r="M32" s="1074"/>
      <c r="N32" s="1075"/>
      <c r="O32" s="1076"/>
      <c r="P32" s="225" t="s">
        <v>199</v>
      </c>
      <c r="Q32" s="1069"/>
      <c r="R32" s="268"/>
      <c r="S32" s="268"/>
      <c r="T32" s="268"/>
    </row>
    <row r="33" spans="1:20" ht="13.5" thickBot="1">
      <c r="A33" s="16"/>
      <c r="B33" s="16"/>
      <c r="C33" s="16"/>
      <c r="D33" s="57"/>
      <c r="E33" s="57"/>
      <c r="F33" s="57"/>
      <c r="G33" s="57"/>
      <c r="H33" s="57"/>
      <c r="I33" s="58"/>
      <c r="J33" s="34"/>
      <c r="K33" s="57"/>
      <c r="L33" s="57"/>
      <c r="M33" s="57"/>
      <c r="N33" s="57"/>
      <c r="O33" s="57"/>
      <c r="P33" s="58"/>
      <c r="Q33" s="270"/>
      <c r="R33" s="268"/>
      <c r="S33" s="268"/>
      <c r="T33" s="268"/>
    </row>
    <row r="34" spans="1:20" ht="12.75">
      <c r="A34" s="16"/>
      <c r="B34" s="43" t="s">
        <v>26</v>
      </c>
      <c r="C34" s="2"/>
      <c r="D34" s="44">
        <f>D31</f>
        <v>13</v>
      </c>
      <c r="E34" s="45">
        <f>E31</f>
        <v>7</v>
      </c>
      <c r="F34" s="45">
        <f>F31</f>
        <v>6</v>
      </c>
      <c r="G34" s="45"/>
      <c r="H34" s="1040">
        <f>H31</f>
        <v>386</v>
      </c>
      <c r="I34" s="235" t="s">
        <v>196</v>
      </c>
      <c r="J34" s="1096">
        <f>IF((J31)&lt;&gt;30,"NU",30)</f>
        <v>30</v>
      </c>
      <c r="K34" s="63">
        <f>K31</f>
        <v>10</v>
      </c>
      <c r="L34" s="45">
        <f>L31</f>
        <v>7</v>
      </c>
      <c r="M34" s="45">
        <f>M31</f>
        <v>9</v>
      </c>
      <c r="N34" s="45"/>
      <c r="O34" s="1040">
        <f>O31</f>
        <v>386</v>
      </c>
      <c r="P34" s="235" t="s">
        <v>198</v>
      </c>
      <c r="Q34" s="1096">
        <f>IF((Q31)&lt;&gt;30,"NU",30)</f>
        <v>30</v>
      </c>
      <c r="R34" s="17"/>
      <c r="S34"/>
      <c r="T34"/>
    </row>
    <row r="35" spans="1:20" ht="13.5" thickBot="1">
      <c r="A35" s="16"/>
      <c r="B35" s="43"/>
      <c r="C35" s="2"/>
      <c r="D35" s="1089">
        <f>SUM(D34:G34)</f>
        <v>26</v>
      </c>
      <c r="E35" s="1090"/>
      <c r="F35" s="1090"/>
      <c r="G35" s="1091"/>
      <c r="H35" s="1076"/>
      <c r="I35" s="40" t="s">
        <v>199</v>
      </c>
      <c r="J35" s="1069"/>
      <c r="K35" s="1089">
        <f>SUM(K34:N34)</f>
        <v>26</v>
      </c>
      <c r="L35" s="1090"/>
      <c r="M35" s="1090"/>
      <c r="N35" s="1091"/>
      <c r="O35" s="1076"/>
      <c r="P35" s="40" t="s">
        <v>199</v>
      </c>
      <c r="Q35" s="1069"/>
      <c r="R35"/>
      <c r="S35"/>
      <c r="T35"/>
    </row>
    <row r="36" spans="1:17" ht="12.75">
      <c r="A36" s="16"/>
      <c r="B36" s="16"/>
      <c r="C36" s="16"/>
      <c r="D36" s="57"/>
      <c r="E36" s="57"/>
      <c r="F36" s="57"/>
      <c r="G36" s="57"/>
      <c r="H36" s="57"/>
      <c r="I36" s="58"/>
      <c r="J36" s="34"/>
      <c r="K36" s="57"/>
      <c r="L36" s="57"/>
      <c r="M36" s="57"/>
      <c r="N36" s="57"/>
      <c r="O36" s="57"/>
      <c r="P36" s="58"/>
      <c r="Q36" s="34"/>
    </row>
    <row r="37" spans="1:17" ht="13.5" thickBot="1">
      <c r="A37" s="55"/>
      <c r="B37" s="16"/>
      <c r="C37" s="16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s="210" customFormat="1" ht="12.75" customHeight="1">
      <c r="A38" s="1045" t="s">
        <v>15</v>
      </c>
      <c r="B38" s="1048" t="s">
        <v>14</v>
      </c>
      <c r="C38" s="1045" t="s">
        <v>387</v>
      </c>
      <c r="D38" s="1070" t="s">
        <v>7</v>
      </c>
      <c r="E38" s="1071"/>
      <c r="F38" s="1071"/>
      <c r="G38" s="1071"/>
      <c r="H38" s="1071"/>
      <c r="I38" s="1071"/>
      <c r="J38" s="1072"/>
      <c r="K38" s="1070" t="s">
        <v>8</v>
      </c>
      <c r="L38" s="1071"/>
      <c r="M38" s="1071"/>
      <c r="N38" s="1071"/>
      <c r="O38" s="1071"/>
      <c r="P38" s="1071"/>
      <c r="Q38" s="1072"/>
    </row>
    <row r="39" spans="1:17" s="1" customFormat="1" ht="9.75">
      <c r="A39" s="1046"/>
      <c r="B39" s="1049"/>
      <c r="C39" s="1046"/>
      <c r="D39" s="1051" t="s">
        <v>9</v>
      </c>
      <c r="E39" s="1026" t="s">
        <v>10</v>
      </c>
      <c r="F39" s="1028" t="s">
        <v>11</v>
      </c>
      <c r="G39" s="1028" t="s">
        <v>12</v>
      </c>
      <c r="H39" s="1028" t="s">
        <v>40</v>
      </c>
      <c r="I39" s="1063" t="s">
        <v>16</v>
      </c>
      <c r="J39" s="1067" t="s">
        <v>17</v>
      </c>
      <c r="K39" s="1051" t="s">
        <v>9</v>
      </c>
      <c r="L39" s="1028" t="s">
        <v>10</v>
      </c>
      <c r="M39" s="1026" t="s">
        <v>11</v>
      </c>
      <c r="N39" s="1028" t="s">
        <v>12</v>
      </c>
      <c r="O39" s="1028" t="s">
        <v>40</v>
      </c>
      <c r="P39" s="1063" t="s">
        <v>16</v>
      </c>
      <c r="Q39" s="1067" t="s">
        <v>17</v>
      </c>
    </row>
    <row r="40" spans="1:17" ht="13.5" thickBot="1">
      <c r="A40" s="1047"/>
      <c r="B40" s="1050"/>
      <c r="C40" s="1047"/>
      <c r="D40" s="1052"/>
      <c r="E40" s="1027"/>
      <c r="F40" s="1029"/>
      <c r="G40" s="1029"/>
      <c r="H40" s="1029"/>
      <c r="I40" s="1064"/>
      <c r="J40" s="1066"/>
      <c r="K40" s="1052"/>
      <c r="L40" s="1029"/>
      <c r="M40" s="1027"/>
      <c r="N40" s="1029"/>
      <c r="O40" s="1029"/>
      <c r="P40" s="1064"/>
      <c r="Q40" s="1066"/>
    </row>
    <row r="41" spans="1:20" s="1" customFormat="1" ht="9.75">
      <c r="A41" s="199">
        <v>18</v>
      </c>
      <c r="B41" s="219" t="s">
        <v>136</v>
      </c>
      <c r="C41" s="38" t="s">
        <v>535</v>
      </c>
      <c r="D41" s="10">
        <v>2</v>
      </c>
      <c r="E41" s="48">
        <v>2</v>
      </c>
      <c r="F41" s="9"/>
      <c r="G41" s="9"/>
      <c r="H41" s="9">
        <f>(J41*25-SUM(D41:G41)*14)</f>
        <v>44</v>
      </c>
      <c r="I41" s="9" t="s">
        <v>9</v>
      </c>
      <c r="J41" s="11">
        <v>4</v>
      </c>
      <c r="K41" s="49"/>
      <c r="L41" s="50"/>
      <c r="M41" s="50"/>
      <c r="N41" s="50"/>
      <c r="O41" s="50"/>
      <c r="P41" s="51"/>
      <c r="Q41" s="52"/>
      <c r="R41" s="2"/>
      <c r="S41" s="2"/>
      <c r="T41" s="2"/>
    </row>
    <row r="42" spans="1:20" s="1" customFormat="1" ht="9.75">
      <c r="A42" s="12">
        <v>19</v>
      </c>
      <c r="B42" s="219" t="s">
        <v>137</v>
      </c>
      <c r="C42" s="38" t="s">
        <v>204</v>
      </c>
      <c r="D42" s="36">
        <v>2</v>
      </c>
      <c r="E42" s="62">
        <v>2</v>
      </c>
      <c r="F42" s="37"/>
      <c r="G42" s="37"/>
      <c r="H42" s="9">
        <f>(J42*25-SUM(D42:G42)*14)</f>
        <v>44</v>
      </c>
      <c r="I42" s="9" t="s">
        <v>9</v>
      </c>
      <c r="J42" s="11">
        <v>4</v>
      </c>
      <c r="K42" s="49"/>
      <c r="L42" s="50"/>
      <c r="M42" s="50"/>
      <c r="N42" s="50"/>
      <c r="O42" s="50"/>
      <c r="P42" s="51"/>
      <c r="Q42" s="52"/>
      <c r="R42" s="2"/>
      <c r="S42" s="2"/>
      <c r="T42" s="2"/>
    </row>
    <row r="43" spans="1:20" s="1" customFormat="1" ht="9.75">
      <c r="A43" s="238">
        <v>20</v>
      </c>
      <c r="B43" s="219" t="s">
        <v>147</v>
      </c>
      <c r="C43" s="38" t="s">
        <v>536</v>
      </c>
      <c r="D43" s="10">
        <v>2</v>
      </c>
      <c r="E43" s="48">
        <v>2</v>
      </c>
      <c r="F43" s="9"/>
      <c r="G43" s="9"/>
      <c r="H43" s="9">
        <f>(J43*25-SUM(D43:G43)*14)</f>
        <v>69</v>
      </c>
      <c r="I43" s="9" t="s">
        <v>81</v>
      </c>
      <c r="J43" s="11">
        <v>5</v>
      </c>
      <c r="K43" s="49"/>
      <c r="L43" s="50"/>
      <c r="M43" s="50"/>
      <c r="N43" s="50"/>
      <c r="O43" s="50"/>
      <c r="P43" s="51"/>
      <c r="Q43" s="52"/>
      <c r="R43" s="2"/>
      <c r="S43" s="2"/>
      <c r="T43" s="2"/>
    </row>
    <row r="44" spans="1:17" ht="13.5" thickBot="1">
      <c r="A44" s="237">
        <v>21</v>
      </c>
      <c r="B44" s="219" t="s">
        <v>149</v>
      </c>
      <c r="C44" s="38" t="s">
        <v>537</v>
      </c>
      <c r="D44" s="36"/>
      <c r="E44" s="62"/>
      <c r="F44" s="37"/>
      <c r="G44" s="37"/>
      <c r="H44" s="37"/>
      <c r="I44" s="220"/>
      <c r="J44" s="11"/>
      <c r="K44" s="36">
        <v>2</v>
      </c>
      <c r="L44" s="37">
        <v>2</v>
      </c>
      <c r="M44" s="37"/>
      <c r="N44" s="37"/>
      <c r="O44" s="37">
        <f>(Q44*25-SUM(K44:N44)*14)</f>
        <v>69</v>
      </c>
      <c r="P44" s="40" t="s">
        <v>81</v>
      </c>
      <c r="Q44" s="53">
        <v>5</v>
      </c>
    </row>
    <row r="45" spans="1:17" ht="12.75">
      <c r="A45" s="1032" t="s">
        <v>25</v>
      </c>
      <c r="B45" s="1033"/>
      <c r="C45" s="1034"/>
      <c r="D45" s="35">
        <f>SUM(D41:D44)</f>
        <v>6</v>
      </c>
      <c r="E45" s="47">
        <f>SUM(E41:E44)</f>
        <v>6</v>
      </c>
      <c r="F45" s="893"/>
      <c r="G45" s="893"/>
      <c r="H45" s="1040">
        <f>SUM(H41:H44)</f>
        <v>157</v>
      </c>
      <c r="I45" s="32" t="s">
        <v>200</v>
      </c>
      <c r="J45" s="1035">
        <f aca="true" t="shared" si="3" ref="J45:O45">SUM(J41:J44)</f>
        <v>13</v>
      </c>
      <c r="K45" s="31">
        <f t="shared" si="3"/>
        <v>2</v>
      </c>
      <c r="L45" s="33">
        <f t="shared" si="3"/>
        <v>2</v>
      </c>
      <c r="M45" s="894"/>
      <c r="N45" s="894"/>
      <c r="O45" s="1040">
        <f t="shared" si="3"/>
        <v>69</v>
      </c>
      <c r="P45" s="37" t="s">
        <v>200</v>
      </c>
      <c r="Q45" s="1035">
        <f>SUM(Q41:Q44)</f>
        <v>5</v>
      </c>
    </row>
    <row r="46" spans="1:17" ht="13.5" thickBot="1">
      <c r="A46" s="1037"/>
      <c r="B46" s="1038"/>
      <c r="C46" s="1039"/>
      <c r="D46" s="1042">
        <f>SUM(D45:G45)</f>
        <v>12</v>
      </c>
      <c r="E46" s="1043"/>
      <c r="F46" s="1043"/>
      <c r="G46" s="1044"/>
      <c r="H46" s="1041"/>
      <c r="I46" s="227" t="s">
        <v>201</v>
      </c>
      <c r="J46" s="1036"/>
      <c r="K46" s="1042">
        <f>SUM(K45:N45)</f>
        <v>4</v>
      </c>
      <c r="L46" s="1043"/>
      <c r="M46" s="1043"/>
      <c r="N46" s="1044"/>
      <c r="O46" s="1041"/>
      <c r="P46" s="227" t="s">
        <v>202</v>
      </c>
      <c r="Q46" s="1036"/>
    </row>
    <row r="47" spans="1:17" s="210" customFormat="1" ht="12.75">
      <c r="A47" s="16"/>
      <c r="B47" s="1031" t="s">
        <v>45</v>
      </c>
      <c r="C47" s="1031"/>
      <c r="D47" s="1031"/>
      <c r="E47" s="1031"/>
      <c r="F47" s="1031"/>
      <c r="G47" s="1031"/>
      <c r="H47" s="1031"/>
      <c r="I47" s="1031"/>
      <c r="J47" s="1031"/>
      <c r="K47" s="1031"/>
      <c r="L47" s="1031"/>
      <c r="M47" s="1031"/>
      <c r="N47" s="1031"/>
      <c r="O47" s="1031"/>
      <c r="P47" s="1031"/>
      <c r="Q47" s="1031"/>
    </row>
    <row r="48" spans="1:17" s="210" customFormat="1" ht="12.75">
      <c r="A48" s="16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</row>
    <row r="49" spans="1:25" ht="12.75">
      <c r="A49" s="54"/>
      <c r="B49" s="41"/>
      <c r="C49" s="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210"/>
      <c r="S49" s="210"/>
      <c r="T49" s="83"/>
      <c r="U49" s="83"/>
      <c r="V49" s="83"/>
      <c r="W49" s="83"/>
      <c r="X49" s="83"/>
      <c r="Y49" s="221"/>
    </row>
    <row r="50" spans="1:29" ht="12" customHeight="1">
      <c r="A50" s="28" t="s">
        <v>140</v>
      </c>
      <c r="B50" s="28" t="s">
        <v>139</v>
      </c>
      <c r="C50" s="28"/>
      <c r="D50" s="28"/>
      <c r="E50" s="28"/>
      <c r="F50" s="28"/>
      <c r="G50" s="28"/>
      <c r="H50" s="28"/>
      <c r="I50" s="28" t="s">
        <v>138</v>
      </c>
      <c r="J50" s="28"/>
      <c r="K50" s="28"/>
      <c r="L50" s="28"/>
      <c r="M50" s="28"/>
      <c r="N50" s="28"/>
      <c r="O50" s="28"/>
      <c r="P50" s="28"/>
      <c r="Q50" s="28"/>
      <c r="T50" s="83"/>
      <c r="U50" s="83"/>
      <c r="V50" s="83"/>
      <c r="W50" s="221"/>
      <c r="X50" s="1030"/>
      <c r="Y50" s="1030"/>
      <c r="AC50" s="5"/>
    </row>
    <row r="51" spans="1:29" ht="12.75">
      <c r="A51" s="28"/>
      <c r="B51" s="89" t="s">
        <v>143</v>
      </c>
      <c r="C51" s="222"/>
      <c r="D51" s="222"/>
      <c r="E51" s="222"/>
      <c r="F51" s="222"/>
      <c r="G51" s="222"/>
      <c r="H51" s="28"/>
      <c r="I51" s="89" t="s">
        <v>144</v>
      </c>
      <c r="J51" s="28"/>
      <c r="K51" s="28"/>
      <c r="L51" s="28"/>
      <c r="M51" s="28"/>
      <c r="N51" s="28"/>
      <c r="O51" s="28"/>
      <c r="P51" s="28"/>
      <c r="Q51" s="28"/>
      <c r="T51" s="83"/>
      <c r="U51" s="83"/>
      <c r="V51" s="83"/>
      <c r="W51" s="221"/>
      <c r="X51" s="84"/>
      <c r="Y51" s="84"/>
      <c r="AC51" s="5"/>
    </row>
    <row r="52" spans="1:29" ht="12.75">
      <c r="A52" s="28"/>
      <c r="B52" s="89"/>
      <c r="C52" s="222"/>
      <c r="D52" s="222"/>
      <c r="E52" s="222"/>
      <c r="F52" s="222"/>
      <c r="G52" s="222"/>
      <c r="H52" s="28"/>
      <c r="I52" s="89"/>
      <c r="J52" s="28"/>
      <c r="K52" s="28"/>
      <c r="L52" s="28"/>
      <c r="M52" s="28"/>
      <c r="N52" s="28"/>
      <c r="O52" s="28"/>
      <c r="P52" s="28"/>
      <c r="Q52" s="28"/>
      <c r="T52" s="83"/>
      <c r="U52" s="83"/>
      <c r="V52" s="83"/>
      <c r="W52" s="221"/>
      <c r="X52" s="84"/>
      <c r="Y52" s="84"/>
      <c r="AC52" s="5"/>
    </row>
    <row r="53" spans="1:29" ht="12.75">
      <c r="A53" s="28"/>
      <c r="B53" s="89"/>
      <c r="C53" s="222"/>
      <c r="D53" s="222"/>
      <c r="E53" s="222"/>
      <c r="F53" s="222"/>
      <c r="G53" s="222"/>
      <c r="H53" s="28"/>
      <c r="I53" s="89"/>
      <c r="J53" s="28"/>
      <c r="K53" s="28"/>
      <c r="L53" s="28"/>
      <c r="M53" s="28"/>
      <c r="N53" s="28"/>
      <c r="O53" s="28"/>
      <c r="P53" s="28"/>
      <c r="Q53" s="28"/>
      <c r="T53" s="83"/>
      <c r="U53" s="83"/>
      <c r="V53" s="83"/>
      <c r="W53" s="221"/>
      <c r="X53" s="84"/>
      <c r="Y53" s="84"/>
      <c r="AC53" s="5"/>
    </row>
    <row r="54" spans="1:29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T54" s="83"/>
      <c r="U54" s="83"/>
      <c r="V54" s="83"/>
      <c r="W54" s="221"/>
      <c r="X54" s="84"/>
      <c r="Y54" s="84"/>
      <c r="AC54" s="5"/>
    </row>
    <row r="55" spans="1:29" ht="12.75">
      <c r="A55" s="28"/>
      <c r="B55" s="28" t="s">
        <v>142</v>
      </c>
      <c r="C55" s="28"/>
      <c r="D55" s="28"/>
      <c r="E55" s="28"/>
      <c r="F55" s="28"/>
      <c r="G55" s="28"/>
      <c r="H55" s="28"/>
      <c r="I55" s="28" t="s">
        <v>141</v>
      </c>
      <c r="J55" s="28"/>
      <c r="K55" s="28"/>
      <c r="L55" s="28"/>
      <c r="M55" s="28"/>
      <c r="N55" s="28"/>
      <c r="O55" s="28"/>
      <c r="P55" s="28"/>
      <c r="Q55" s="28"/>
      <c r="AC55" s="5"/>
    </row>
    <row r="56" spans="1:17" ht="12.75">
      <c r="A56" s="222"/>
      <c r="B56" s="222" t="s">
        <v>145</v>
      </c>
      <c r="C56" s="222"/>
      <c r="D56" s="222"/>
      <c r="E56" s="222"/>
      <c r="F56" s="222"/>
      <c r="G56" s="222"/>
      <c r="H56" s="222"/>
      <c r="I56" s="222" t="s">
        <v>145</v>
      </c>
      <c r="J56" s="222"/>
      <c r="K56" s="222"/>
      <c r="L56" s="222"/>
      <c r="M56" s="222"/>
      <c r="N56" s="222"/>
      <c r="O56" s="222"/>
      <c r="P56" s="222"/>
      <c r="Q56" s="222"/>
    </row>
    <row r="57" spans="1:17" s="210" customFormat="1" ht="12.75">
      <c r="A57" s="15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 s="210" customFormat="1" ht="12.7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s="210" customFormat="1" ht="12.7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</sheetData>
  <sheetProtection/>
  <mergeCells count="69">
    <mergeCell ref="A9:F9"/>
    <mergeCell ref="A3:P3"/>
    <mergeCell ref="A10:Q10"/>
    <mergeCell ref="Q34:Q35"/>
    <mergeCell ref="J12:J13"/>
    <mergeCell ref="M12:M13"/>
    <mergeCell ref="K12:K13"/>
    <mergeCell ref="K35:N35"/>
    <mergeCell ref="J34:J35"/>
    <mergeCell ref="D11:J11"/>
    <mergeCell ref="A11:A13"/>
    <mergeCell ref="B11:B13"/>
    <mergeCell ref="D35:G35"/>
    <mergeCell ref="E12:E13"/>
    <mergeCell ref="J31:J32"/>
    <mergeCell ref="J39:J40"/>
    <mergeCell ref="I39:I40"/>
    <mergeCell ref="H12:H13"/>
    <mergeCell ref="D38:J38"/>
    <mergeCell ref="H34:H35"/>
    <mergeCell ref="O31:O32"/>
    <mergeCell ref="M39:M40"/>
    <mergeCell ref="A1:C1"/>
    <mergeCell ref="H31:H32"/>
    <mergeCell ref="D32:G32"/>
    <mergeCell ref="A31:C32"/>
    <mergeCell ref="A6:F6"/>
    <mergeCell ref="A7:F7"/>
    <mergeCell ref="A8:F8"/>
    <mergeCell ref="A5:F5"/>
    <mergeCell ref="O39:O40"/>
    <mergeCell ref="N12:N13"/>
    <mergeCell ref="G12:G13"/>
    <mergeCell ref="Q39:Q40"/>
    <mergeCell ref="Q31:Q32"/>
    <mergeCell ref="P39:P40"/>
    <mergeCell ref="N39:N40"/>
    <mergeCell ref="K38:Q38"/>
    <mergeCell ref="K32:N32"/>
    <mergeCell ref="O34:O35"/>
    <mergeCell ref="F12:F13"/>
    <mergeCell ref="D12:D13"/>
    <mergeCell ref="C11:C13"/>
    <mergeCell ref="K11:Q11"/>
    <mergeCell ref="P12:P13"/>
    <mergeCell ref="L12:L13"/>
    <mergeCell ref="Q12:Q13"/>
    <mergeCell ref="O12:O13"/>
    <mergeCell ref="I12:I13"/>
    <mergeCell ref="Q45:Q46"/>
    <mergeCell ref="D46:G46"/>
    <mergeCell ref="H45:H46"/>
    <mergeCell ref="A38:A40"/>
    <mergeCell ref="L39:L40"/>
    <mergeCell ref="C38:C40"/>
    <mergeCell ref="B38:B40"/>
    <mergeCell ref="F39:F40"/>
    <mergeCell ref="K39:K40"/>
    <mergeCell ref="D39:D40"/>
    <mergeCell ref="E39:E40"/>
    <mergeCell ref="G39:G40"/>
    <mergeCell ref="H39:H40"/>
    <mergeCell ref="X50:Y50"/>
    <mergeCell ref="B47:Q47"/>
    <mergeCell ref="A45:C45"/>
    <mergeCell ref="J45:J46"/>
    <mergeCell ref="A46:C46"/>
    <mergeCell ref="O45:O46"/>
    <mergeCell ref="K46:N46"/>
  </mergeCells>
  <printOptions/>
  <pageMargins left="0.3937007874015748" right="0.3937007874015748" top="0.4724409448818898" bottom="0.4724409448818898" header="0" footer="0"/>
  <pageSetup horizontalDpi="600" verticalDpi="600" orientation="portrait" paperSize="9" r:id="rId1"/>
  <headerFooter alignWithMargins="0">
    <oddFooter>&amp;R2/7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9"/>
  <sheetViews>
    <sheetView zoomScalePageLayoutView="0" workbookViewId="0" topLeftCell="A10">
      <selection activeCell="W25" sqref="W25"/>
    </sheetView>
  </sheetViews>
  <sheetFormatPr defaultColWidth="9.140625" defaultRowHeight="12.75"/>
  <cols>
    <col min="1" max="1" width="3.28125" style="0" customWidth="1"/>
    <col min="2" max="2" width="30.7109375" style="0" customWidth="1"/>
    <col min="3" max="3" width="11.00390625" style="3" customWidth="1"/>
    <col min="4" max="4" width="3.140625" style="0" customWidth="1"/>
    <col min="5" max="6" width="2.421875" style="0" customWidth="1"/>
    <col min="7" max="7" width="2.140625" style="0" customWidth="1"/>
    <col min="8" max="8" width="3.8515625" style="0" customWidth="1"/>
    <col min="9" max="9" width="6.421875" style="0" customWidth="1"/>
    <col min="10" max="10" width="5.00390625" style="0" customWidth="1"/>
    <col min="11" max="11" width="2.7109375" style="0" customWidth="1"/>
    <col min="12" max="13" width="2.421875" style="0" customWidth="1"/>
    <col min="14" max="14" width="2.7109375" style="0" customWidth="1"/>
    <col min="15" max="15" width="3.8515625" style="0" customWidth="1"/>
    <col min="16" max="16" width="6.421875" style="0" customWidth="1"/>
    <col min="17" max="17" width="5.00390625" style="0" customWidth="1"/>
    <col min="18" max="19" width="9.140625" style="0" hidden="1" customWidth="1"/>
    <col min="24" max="24" width="10.7109375" style="0" customWidth="1"/>
  </cols>
  <sheetData>
    <row r="1" spans="1:3" ht="12.75">
      <c r="A1" s="1077" t="s">
        <v>72</v>
      </c>
      <c r="B1" s="1077"/>
      <c r="C1" s="1077"/>
    </row>
    <row r="2" spans="1:3" ht="12.75">
      <c r="A2" s="25" t="s">
        <v>562</v>
      </c>
      <c r="B2" s="88"/>
      <c r="C2" s="88"/>
    </row>
    <row r="3" spans="1:19" ht="15">
      <c r="A3" s="1094" t="s">
        <v>21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28"/>
      <c r="R3" s="7"/>
      <c r="S3" s="7"/>
    </row>
    <row r="4" spans="1:19" ht="1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28"/>
      <c r="R4" s="7"/>
      <c r="S4" s="7"/>
    </row>
    <row r="5" spans="1:58" ht="12.75">
      <c r="A5" s="1084" t="s">
        <v>76</v>
      </c>
      <c r="B5" s="1084"/>
      <c r="C5" s="1084"/>
      <c r="D5" s="1084"/>
      <c r="E5" s="1084"/>
      <c r="F5" s="1084"/>
      <c r="G5" s="20"/>
      <c r="H5" s="20"/>
      <c r="I5" s="70"/>
      <c r="J5" s="70"/>
      <c r="K5" s="7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14"/>
      <c r="BD5" s="14"/>
      <c r="BE5" s="13"/>
      <c r="BF5" s="13"/>
    </row>
    <row r="6" spans="1:20" ht="12.75">
      <c r="A6" s="1081" t="s">
        <v>606</v>
      </c>
      <c r="B6" s="1082"/>
      <c r="C6" s="1082"/>
      <c r="D6" s="1082"/>
      <c r="E6" s="1082"/>
      <c r="F6" s="1082"/>
      <c r="G6" s="24"/>
      <c r="H6" s="24"/>
      <c r="L6" s="8"/>
      <c r="M6" s="8"/>
      <c r="N6" s="8"/>
      <c r="O6" s="8"/>
      <c r="P6" s="8"/>
      <c r="Q6" s="8"/>
      <c r="R6" s="25"/>
      <c r="S6" s="25"/>
      <c r="T6" s="19"/>
    </row>
    <row r="7" spans="1:20" ht="12.75">
      <c r="A7" s="1083" t="s">
        <v>257</v>
      </c>
      <c r="B7" s="1083"/>
      <c r="C7" s="1083"/>
      <c r="D7" s="1083"/>
      <c r="E7" s="1083"/>
      <c r="F7" s="1083"/>
      <c r="G7" s="8"/>
      <c r="H7" s="8"/>
      <c r="I7" s="8"/>
      <c r="J7" s="18"/>
      <c r="K7" s="18"/>
      <c r="L7" s="18"/>
      <c r="M7" s="18"/>
      <c r="N7" s="18"/>
      <c r="O7" s="18"/>
      <c r="P7" s="18"/>
      <c r="Q7" s="18"/>
      <c r="R7" s="5"/>
      <c r="S7" s="19"/>
      <c r="T7" s="19"/>
    </row>
    <row r="8" spans="1:20" ht="12.75">
      <c r="A8" s="1083" t="s">
        <v>77</v>
      </c>
      <c r="B8" s="1083"/>
      <c r="C8" s="1083"/>
      <c r="D8" s="1083"/>
      <c r="E8" s="1083"/>
      <c r="F8" s="1083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0" ht="12.75">
      <c r="A9" s="1084" t="s">
        <v>605</v>
      </c>
      <c r="B9" s="1084"/>
      <c r="C9" s="1084"/>
      <c r="D9" s="1084"/>
      <c r="E9" s="1084"/>
      <c r="F9" s="108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1" ht="18.75" customHeight="1" thickBot="1">
      <c r="A10" s="1095" t="s">
        <v>73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U10" s="4"/>
    </row>
    <row r="11" spans="1:17" ht="13.5" customHeight="1">
      <c r="A11" s="1057" t="s">
        <v>15</v>
      </c>
      <c r="B11" s="1086" t="s">
        <v>6</v>
      </c>
      <c r="C11" s="1057" t="s">
        <v>387</v>
      </c>
      <c r="D11" s="1060" t="s">
        <v>28</v>
      </c>
      <c r="E11" s="1061"/>
      <c r="F11" s="1061"/>
      <c r="G11" s="1061"/>
      <c r="H11" s="1061"/>
      <c r="I11" s="1061"/>
      <c r="J11" s="1062"/>
      <c r="K11" s="1060" t="s">
        <v>29</v>
      </c>
      <c r="L11" s="1061"/>
      <c r="M11" s="1061"/>
      <c r="N11" s="1061"/>
      <c r="O11" s="1061"/>
      <c r="P11" s="1061"/>
      <c r="Q11" s="1062"/>
    </row>
    <row r="12" spans="1:17" ht="12.75" customHeight="1">
      <c r="A12" s="1058"/>
      <c r="B12" s="1087"/>
      <c r="C12" s="1104"/>
      <c r="D12" s="1055" t="s">
        <v>9</v>
      </c>
      <c r="E12" s="1053" t="s">
        <v>10</v>
      </c>
      <c r="F12" s="1053" t="s">
        <v>11</v>
      </c>
      <c r="G12" s="1053" t="s">
        <v>12</v>
      </c>
      <c r="H12" s="1053" t="s">
        <v>40</v>
      </c>
      <c r="I12" s="1063" t="s">
        <v>16</v>
      </c>
      <c r="J12" s="1065" t="s">
        <v>17</v>
      </c>
      <c r="K12" s="1055" t="s">
        <v>9</v>
      </c>
      <c r="L12" s="1053" t="s">
        <v>10</v>
      </c>
      <c r="M12" s="1053" t="s">
        <v>11</v>
      </c>
      <c r="N12" s="1053" t="s">
        <v>12</v>
      </c>
      <c r="O12" s="1053" t="s">
        <v>40</v>
      </c>
      <c r="P12" s="1063" t="s">
        <v>16</v>
      </c>
      <c r="Q12" s="1065" t="s">
        <v>17</v>
      </c>
    </row>
    <row r="13" spans="1:17" ht="13.5" thickBot="1">
      <c r="A13" s="1085"/>
      <c r="B13" s="1088"/>
      <c r="C13" s="1105"/>
      <c r="D13" s="1056"/>
      <c r="E13" s="1097"/>
      <c r="F13" s="1054"/>
      <c r="G13" s="1054"/>
      <c r="H13" s="1054"/>
      <c r="I13" s="1064"/>
      <c r="J13" s="1066"/>
      <c r="K13" s="1056"/>
      <c r="L13" s="1054"/>
      <c r="M13" s="1097"/>
      <c r="N13" s="1054"/>
      <c r="O13" s="1054"/>
      <c r="P13" s="1064"/>
      <c r="Q13" s="1066"/>
    </row>
    <row r="14" spans="1:17" ht="12.75">
      <c r="A14" s="192">
        <v>1</v>
      </c>
      <c r="B14" s="272" t="s">
        <v>99</v>
      </c>
      <c r="C14" s="276" t="s">
        <v>205</v>
      </c>
      <c r="D14" s="102">
        <v>2</v>
      </c>
      <c r="E14" s="86">
        <v>1</v>
      </c>
      <c r="F14" s="86"/>
      <c r="G14" s="86"/>
      <c r="H14" s="86">
        <f>(J14*25-SUM(D14:G14)*14)</f>
        <v>58</v>
      </c>
      <c r="I14" s="186" t="s">
        <v>81</v>
      </c>
      <c r="J14" s="104">
        <v>4</v>
      </c>
      <c r="K14" s="102"/>
      <c r="L14" s="86"/>
      <c r="M14" s="86"/>
      <c r="N14" s="86"/>
      <c r="O14" s="86"/>
      <c r="P14" s="86"/>
      <c r="Q14" s="104"/>
    </row>
    <row r="15" spans="1:17" ht="12.75">
      <c r="A15" s="104">
        <v>2</v>
      </c>
      <c r="B15" s="274" t="s">
        <v>129</v>
      </c>
      <c r="C15" s="279" t="s">
        <v>206</v>
      </c>
      <c r="D15" s="102">
        <v>2</v>
      </c>
      <c r="E15" s="86">
        <v>1</v>
      </c>
      <c r="F15" s="86">
        <v>1</v>
      </c>
      <c r="G15" s="86"/>
      <c r="H15" s="86">
        <f aca="true" t="shared" si="0" ref="H15:H21">(J15*25-SUM(D15:G15)*14)</f>
        <v>44</v>
      </c>
      <c r="I15" s="186" t="s">
        <v>81</v>
      </c>
      <c r="J15" s="104">
        <v>4</v>
      </c>
      <c r="K15" s="102"/>
      <c r="L15" s="86"/>
      <c r="M15" s="86"/>
      <c r="N15" s="86"/>
      <c r="O15" s="86"/>
      <c r="P15" s="86"/>
      <c r="Q15" s="104"/>
    </row>
    <row r="16" spans="1:17" ht="12.75">
      <c r="A16" s="104">
        <v>3</v>
      </c>
      <c r="B16" s="274" t="s">
        <v>100</v>
      </c>
      <c r="C16" s="277" t="s">
        <v>207</v>
      </c>
      <c r="D16" s="102">
        <v>2</v>
      </c>
      <c r="E16" s="86">
        <v>2</v>
      </c>
      <c r="F16" s="86"/>
      <c r="G16" s="86"/>
      <c r="H16" s="86">
        <f t="shared" si="0"/>
        <v>44</v>
      </c>
      <c r="I16" s="186" t="s">
        <v>81</v>
      </c>
      <c r="J16" s="104">
        <v>4</v>
      </c>
      <c r="K16" s="102"/>
      <c r="L16" s="86"/>
      <c r="M16" s="86"/>
      <c r="N16" s="86"/>
      <c r="O16" s="86"/>
      <c r="P16" s="86"/>
      <c r="Q16" s="104"/>
    </row>
    <row r="17" spans="1:17" ht="12.75">
      <c r="A17" s="104">
        <v>4</v>
      </c>
      <c r="B17" s="274" t="s">
        <v>531</v>
      </c>
      <c r="C17" s="277" t="s">
        <v>208</v>
      </c>
      <c r="D17" s="102">
        <v>2</v>
      </c>
      <c r="E17" s="86">
        <v>1</v>
      </c>
      <c r="F17" s="201">
        <v>1</v>
      </c>
      <c r="G17" s="86"/>
      <c r="H17" s="86">
        <f t="shared" si="0"/>
        <v>69</v>
      </c>
      <c r="I17" s="186" t="s">
        <v>81</v>
      </c>
      <c r="J17" s="104">
        <f>INT((3*D17+1.5*E17+1.5*F17+2*G17)*0.56)</f>
        <v>5</v>
      </c>
      <c r="K17" s="102"/>
      <c r="L17" s="86"/>
      <c r="M17" s="86"/>
      <c r="N17" s="86"/>
      <c r="O17" s="86"/>
      <c r="P17" s="86"/>
      <c r="Q17" s="104"/>
    </row>
    <row r="18" spans="1:17" s="23" customFormat="1" ht="12.75">
      <c r="A18" s="104">
        <v>5</v>
      </c>
      <c r="B18" s="274" t="s">
        <v>101</v>
      </c>
      <c r="C18" s="277" t="s">
        <v>209</v>
      </c>
      <c r="D18" s="102">
        <v>2</v>
      </c>
      <c r="E18" s="86"/>
      <c r="F18" s="201">
        <v>1</v>
      </c>
      <c r="G18" s="86"/>
      <c r="H18" s="86">
        <f t="shared" si="0"/>
        <v>58</v>
      </c>
      <c r="I18" s="186" t="s">
        <v>81</v>
      </c>
      <c r="J18" s="104">
        <v>4</v>
      </c>
      <c r="K18" s="102"/>
      <c r="L18" s="86"/>
      <c r="M18" s="86"/>
      <c r="N18" s="86"/>
      <c r="O18" s="86"/>
      <c r="P18" s="86"/>
      <c r="Q18" s="104"/>
    </row>
    <row r="19" spans="1:17" ht="12.75">
      <c r="A19" s="104">
        <v>6</v>
      </c>
      <c r="B19" s="274" t="s">
        <v>102</v>
      </c>
      <c r="C19" s="277" t="s">
        <v>210</v>
      </c>
      <c r="D19" s="102">
        <v>2</v>
      </c>
      <c r="E19" s="86"/>
      <c r="F19" s="202">
        <v>1</v>
      </c>
      <c r="G19" s="203"/>
      <c r="H19" s="86">
        <f t="shared" si="0"/>
        <v>58</v>
      </c>
      <c r="I19" s="186" t="s">
        <v>81</v>
      </c>
      <c r="J19" s="104">
        <f>INT((3*D19+1.5*E19+1.5*F19+2*G19)*0.56)</f>
        <v>4</v>
      </c>
      <c r="K19" s="102"/>
      <c r="L19" s="86"/>
      <c r="M19" s="86"/>
      <c r="N19" s="86"/>
      <c r="O19" s="86"/>
      <c r="P19" s="86"/>
      <c r="Q19" s="104"/>
    </row>
    <row r="20" spans="1:17" ht="12.75">
      <c r="A20" s="104">
        <v>7</v>
      </c>
      <c r="B20" s="274" t="s">
        <v>133</v>
      </c>
      <c r="C20" s="277" t="s">
        <v>211</v>
      </c>
      <c r="D20" s="102">
        <v>2</v>
      </c>
      <c r="E20" s="87"/>
      <c r="F20" s="86">
        <v>2</v>
      </c>
      <c r="G20" s="86"/>
      <c r="H20" s="86">
        <f t="shared" si="0"/>
        <v>44</v>
      </c>
      <c r="I20" s="186" t="s">
        <v>9</v>
      </c>
      <c r="J20" s="104">
        <v>4</v>
      </c>
      <c r="K20" s="102"/>
      <c r="L20" s="86"/>
      <c r="M20" s="86"/>
      <c r="N20" s="86"/>
      <c r="O20" s="86"/>
      <c r="P20" s="86"/>
      <c r="Q20" s="104"/>
    </row>
    <row r="21" spans="1:17" ht="12.75">
      <c r="A21" s="104">
        <v>8</v>
      </c>
      <c r="B21" s="274" t="s">
        <v>103</v>
      </c>
      <c r="C21" s="277" t="s">
        <v>212</v>
      </c>
      <c r="D21" s="102"/>
      <c r="E21" s="86">
        <v>1</v>
      </c>
      <c r="F21" s="86"/>
      <c r="G21" s="86"/>
      <c r="H21" s="86">
        <f t="shared" si="0"/>
        <v>11</v>
      </c>
      <c r="I21" s="99" t="s">
        <v>9</v>
      </c>
      <c r="J21" s="104">
        <v>1</v>
      </c>
      <c r="K21" s="102"/>
      <c r="L21" s="86"/>
      <c r="M21" s="86"/>
      <c r="N21" s="86"/>
      <c r="O21" s="86"/>
      <c r="P21" s="86"/>
      <c r="Q21" s="104"/>
    </row>
    <row r="22" spans="1:17" ht="12.75">
      <c r="A22" s="104">
        <v>9</v>
      </c>
      <c r="B22" s="274" t="s">
        <v>134</v>
      </c>
      <c r="C22" s="278" t="s">
        <v>213</v>
      </c>
      <c r="D22" s="102"/>
      <c r="E22" s="86"/>
      <c r="F22" s="86"/>
      <c r="G22" s="86"/>
      <c r="H22" s="86"/>
      <c r="I22" s="186"/>
      <c r="J22" s="104"/>
      <c r="K22" s="102"/>
      <c r="L22" s="86"/>
      <c r="M22" s="86"/>
      <c r="N22" s="86">
        <v>2</v>
      </c>
      <c r="O22" s="86">
        <f>(Q22*25-SUM(K22:N22)*14)</f>
        <v>22</v>
      </c>
      <c r="P22" s="86" t="s">
        <v>12</v>
      </c>
      <c r="Q22" s="104">
        <f>INT((3*K22+1.5*L22+1.5*M22+2*N22)*0.56)</f>
        <v>2</v>
      </c>
    </row>
    <row r="23" spans="1:17" ht="12.75">
      <c r="A23" s="104">
        <v>10</v>
      </c>
      <c r="B23" s="274" t="s">
        <v>115</v>
      </c>
      <c r="C23" s="277" t="s">
        <v>214</v>
      </c>
      <c r="D23" s="102"/>
      <c r="E23" s="86"/>
      <c r="F23" s="204"/>
      <c r="G23" s="189"/>
      <c r="H23" s="189"/>
      <c r="I23" s="205"/>
      <c r="J23" s="206"/>
      <c r="K23" s="207"/>
      <c r="L23" s="189"/>
      <c r="M23" s="204"/>
      <c r="N23" s="86">
        <v>2</v>
      </c>
      <c r="O23" s="86">
        <f aca="true" t="shared" si="1" ref="O23:O29">(Q23*25-SUM(K23:N23)*14)</f>
        <v>22</v>
      </c>
      <c r="P23" s="86" t="s">
        <v>12</v>
      </c>
      <c r="Q23" s="104">
        <v>2</v>
      </c>
    </row>
    <row r="24" spans="1:17" ht="12.75">
      <c r="A24" s="104">
        <v>11</v>
      </c>
      <c r="B24" s="274" t="s">
        <v>104</v>
      </c>
      <c r="C24" s="277" t="s">
        <v>215</v>
      </c>
      <c r="D24" s="102"/>
      <c r="E24" s="86"/>
      <c r="F24" s="202"/>
      <c r="G24" s="203"/>
      <c r="H24" s="203"/>
      <c r="I24" s="186"/>
      <c r="J24" s="104"/>
      <c r="K24" s="102">
        <v>2</v>
      </c>
      <c r="L24" s="86">
        <v>2</v>
      </c>
      <c r="M24" s="86">
        <v>1</v>
      </c>
      <c r="N24" s="86"/>
      <c r="O24" s="86">
        <f t="shared" si="1"/>
        <v>30</v>
      </c>
      <c r="P24" s="86" t="s">
        <v>81</v>
      </c>
      <c r="Q24" s="104">
        <v>4</v>
      </c>
    </row>
    <row r="25" spans="1:17" ht="12.75">
      <c r="A25" s="104">
        <v>12</v>
      </c>
      <c r="B25" s="274" t="s">
        <v>105</v>
      </c>
      <c r="C25" s="277" t="s">
        <v>216</v>
      </c>
      <c r="D25" s="230"/>
      <c r="E25" s="87"/>
      <c r="F25" s="87"/>
      <c r="G25" s="86"/>
      <c r="H25" s="86"/>
      <c r="I25" s="186"/>
      <c r="J25" s="104"/>
      <c r="K25" s="102">
        <v>2</v>
      </c>
      <c r="L25" s="86">
        <v>2</v>
      </c>
      <c r="M25" s="86">
        <v>2</v>
      </c>
      <c r="N25" s="86"/>
      <c r="O25" s="86">
        <f t="shared" si="1"/>
        <v>66</v>
      </c>
      <c r="P25" s="86" t="s">
        <v>81</v>
      </c>
      <c r="Q25" s="104">
        <v>6</v>
      </c>
    </row>
    <row r="26" spans="1:17" ht="12.75">
      <c r="A26" s="104">
        <v>13</v>
      </c>
      <c r="B26" s="274" t="s">
        <v>106</v>
      </c>
      <c r="C26" s="277" t="s">
        <v>217</v>
      </c>
      <c r="D26" s="230"/>
      <c r="E26" s="87"/>
      <c r="F26" s="87"/>
      <c r="G26" s="86"/>
      <c r="H26" s="86"/>
      <c r="I26" s="186"/>
      <c r="J26" s="104"/>
      <c r="K26" s="102">
        <v>2</v>
      </c>
      <c r="L26" s="86">
        <v>1</v>
      </c>
      <c r="M26" s="86">
        <v>1</v>
      </c>
      <c r="N26" s="86"/>
      <c r="O26" s="86">
        <f t="shared" si="1"/>
        <v>44</v>
      </c>
      <c r="P26" s="86" t="s">
        <v>81</v>
      </c>
      <c r="Q26" s="104">
        <v>4</v>
      </c>
    </row>
    <row r="27" spans="1:17" ht="12.75">
      <c r="A27" s="104">
        <v>14</v>
      </c>
      <c r="B27" s="274" t="s">
        <v>118</v>
      </c>
      <c r="C27" s="277" t="s">
        <v>218</v>
      </c>
      <c r="D27" s="230"/>
      <c r="E27" s="87"/>
      <c r="F27" s="87"/>
      <c r="G27" s="86"/>
      <c r="H27" s="86"/>
      <c r="I27" s="186"/>
      <c r="J27" s="104"/>
      <c r="K27" s="102">
        <v>2</v>
      </c>
      <c r="L27" s="86"/>
      <c r="M27" s="86">
        <v>1</v>
      </c>
      <c r="N27" s="86"/>
      <c r="O27" s="86">
        <f t="shared" si="1"/>
        <v>58</v>
      </c>
      <c r="P27" s="86" t="s">
        <v>81</v>
      </c>
      <c r="Q27" s="104">
        <f>INT((3*K27+1.5*L27+1.5*M27+2*N27)*0.56)</f>
        <v>4</v>
      </c>
    </row>
    <row r="28" spans="1:17" ht="12.75">
      <c r="A28" s="104">
        <v>15</v>
      </c>
      <c r="B28" s="274" t="s">
        <v>120</v>
      </c>
      <c r="C28" s="277" t="s">
        <v>219</v>
      </c>
      <c r="D28" s="230"/>
      <c r="E28" s="87"/>
      <c r="F28" s="87"/>
      <c r="G28" s="86"/>
      <c r="H28" s="86"/>
      <c r="I28" s="186"/>
      <c r="J28" s="104"/>
      <c r="K28" s="102">
        <v>2</v>
      </c>
      <c r="L28" s="86"/>
      <c r="M28" s="86">
        <v>1</v>
      </c>
      <c r="N28" s="86"/>
      <c r="O28" s="86">
        <f t="shared" si="1"/>
        <v>33</v>
      </c>
      <c r="P28" s="86" t="s">
        <v>9</v>
      </c>
      <c r="Q28" s="104">
        <v>3</v>
      </c>
    </row>
    <row r="29" spans="1:17" ht="12.75">
      <c r="A29" s="104">
        <v>16</v>
      </c>
      <c r="B29" s="274" t="s">
        <v>107</v>
      </c>
      <c r="C29" s="277" t="s">
        <v>220</v>
      </c>
      <c r="D29" s="230"/>
      <c r="E29" s="87"/>
      <c r="F29" s="87"/>
      <c r="G29" s="86"/>
      <c r="H29" s="86"/>
      <c r="I29" s="186"/>
      <c r="J29" s="104"/>
      <c r="K29" s="102"/>
      <c r="L29" s="86">
        <v>1</v>
      </c>
      <c r="M29" s="86"/>
      <c r="N29" s="86"/>
      <c r="O29" s="86">
        <f t="shared" si="1"/>
        <v>11</v>
      </c>
      <c r="P29" s="99" t="s">
        <v>9</v>
      </c>
      <c r="Q29" s="104">
        <v>1</v>
      </c>
    </row>
    <row r="30" spans="1:17" ht="13.5" thickBot="1">
      <c r="A30" s="191">
        <v>17</v>
      </c>
      <c r="B30" s="283" t="s">
        <v>254</v>
      </c>
      <c r="C30" s="285" t="s">
        <v>221</v>
      </c>
      <c r="D30" s="284"/>
      <c r="E30" s="208"/>
      <c r="F30" s="208"/>
      <c r="G30" s="187"/>
      <c r="H30" s="187"/>
      <c r="I30" s="190"/>
      <c r="J30" s="191"/>
      <c r="K30" s="209"/>
      <c r="L30" s="187"/>
      <c r="M30" s="187"/>
      <c r="N30" s="187"/>
      <c r="O30" s="86"/>
      <c r="P30" s="187" t="s">
        <v>9</v>
      </c>
      <c r="Q30" s="267">
        <v>4</v>
      </c>
    </row>
    <row r="31" spans="1:17" ht="12.75">
      <c r="A31" s="1078" t="s">
        <v>23</v>
      </c>
      <c r="B31" s="1033"/>
      <c r="C31" s="1034"/>
      <c r="D31" s="35">
        <f>SUM(D14:D30)</f>
        <v>14</v>
      </c>
      <c r="E31" s="62">
        <f>SUM(E14:E30)</f>
        <v>6</v>
      </c>
      <c r="F31" s="62">
        <f>SUM(F14:F30)</f>
        <v>6</v>
      </c>
      <c r="G31" s="891"/>
      <c r="H31" s="1040">
        <f>SUM(H14:H30)</f>
        <v>386</v>
      </c>
      <c r="I31" s="228" t="s">
        <v>522</v>
      </c>
      <c r="J31" s="1106">
        <f aca="true" t="shared" si="2" ref="J31:O31">SUM(J14:J30)</f>
        <v>30</v>
      </c>
      <c r="K31" s="36">
        <f t="shared" si="2"/>
        <v>10</v>
      </c>
      <c r="L31" s="37">
        <f t="shared" si="2"/>
        <v>6</v>
      </c>
      <c r="M31" s="37">
        <f t="shared" si="2"/>
        <v>6</v>
      </c>
      <c r="N31" s="81">
        <f t="shared" si="2"/>
        <v>4</v>
      </c>
      <c r="O31" s="1040">
        <f t="shared" si="2"/>
        <v>286</v>
      </c>
      <c r="P31" s="226" t="s">
        <v>198</v>
      </c>
      <c r="Q31" s="1096">
        <f>SUM(Q14:Q30)</f>
        <v>30</v>
      </c>
    </row>
    <row r="32" spans="1:17" ht="13.5" thickBot="1">
      <c r="A32" s="1037"/>
      <c r="B32" s="1079"/>
      <c r="C32" s="1080"/>
      <c r="D32" s="1073">
        <f>SUM(D31:G31)</f>
        <v>26</v>
      </c>
      <c r="E32" s="1074"/>
      <c r="F32" s="1074"/>
      <c r="G32" s="1075"/>
      <c r="H32" s="1076"/>
      <c r="I32" s="229" t="s">
        <v>201</v>
      </c>
      <c r="J32" s="1069"/>
      <c r="K32" s="1073">
        <f>SUM(K31:N31)</f>
        <v>26</v>
      </c>
      <c r="L32" s="1074"/>
      <c r="M32" s="1074"/>
      <c r="N32" s="1075"/>
      <c r="O32" s="1076"/>
      <c r="P32" s="229" t="s">
        <v>281</v>
      </c>
      <c r="Q32" s="1069"/>
    </row>
    <row r="33" spans="1:17" ht="13.5" thickBot="1">
      <c r="A33" s="16"/>
      <c r="B33" s="16"/>
      <c r="C33" s="16"/>
      <c r="D33" s="57"/>
      <c r="E33" s="57"/>
      <c r="F33" s="57"/>
      <c r="G33" s="57"/>
      <c r="H33" s="57"/>
      <c r="I33" s="193"/>
      <c r="J33" s="34"/>
      <c r="K33" s="57"/>
      <c r="L33" s="57"/>
      <c r="M33" s="57"/>
      <c r="N33" s="57"/>
      <c r="O33" s="57"/>
      <c r="P33" s="194"/>
      <c r="Q33" s="34"/>
    </row>
    <row r="34" spans="1:17" ht="12.75">
      <c r="A34" s="16"/>
      <c r="B34" s="43" t="s">
        <v>26</v>
      </c>
      <c r="C34" s="2"/>
      <c r="D34" s="35">
        <f>D31</f>
        <v>14</v>
      </c>
      <c r="E34" s="32">
        <f>E31</f>
        <v>6</v>
      </c>
      <c r="F34" s="32">
        <f>F31</f>
        <v>6</v>
      </c>
      <c r="G34" s="895"/>
      <c r="H34" s="845">
        <f>H31</f>
        <v>386</v>
      </c>
      <c r="I34" s="235" t="s">
        <v>522</v>
      </c>
      <c r="J34" s="1096">
        <f>IF((J31)&lt;&gt;30,"NU",30)</f>
        <v>30</v>
      </c>
      <c r="K34" s="47">
        <f>K31</f>
        <v>10</v>
      </c>
      <c r="L34" s="32">
        <f>L31</f>
        <v>6</v>
      </c>
      <c r="M34" s="32">
        <f>M31</f>
        <v>6</v>
      </c>
      <c r="N34" s="32">
        <f>N31</f>
        <v>4</v>
      </c>
      <c r="O34" s="845">
        <f>O31</f>
        <v>286</v>
      </c>
      <c r="P34" s="235" t="s">
        <v>198</v>
      </c>
      <c r="Q34" s="1096">
        <f>IF((Q31)&lt;&gt;30,"NU",30)</f>
        <v>30</v>
      </c>
    </row>
    <row r="35" spans="1:17" ht="12.75">
      <c r="A35" s="16"/>
      <c r="B35" s="43"/>
      <c r="C35" s="2"/>
      <c r="D35" s="1098">
        <f>SUM(D34:G34)</f>
        <v>26</v>
      </c>
      <c r="E35" s="1099"/>
      <c r="F35" s="1099"/>
      <c r="G35" s="1100"/>
      <c r="H35" s="901"/>
      <c r="I35" s="220" t="s">
        <v>201</v>
      </c>
      <c r="J35" s="1068"/>
      <c r="K35" s="1098">
        <f>SUM(K34:N34)</f>
        <v>26</v>
      </c>
      <c r="L35" s="1099"/>
      <c r="M35" s="1099"/>
      <c r="N35" s="1100"/>
      <c r="O35" s="901"/>
      <c r="P35" s="220" t="s">
        <v>197</v>
      </c>
      <c r="Q35" s="1068"/>
    </row>
    <row r="36" spans="1:17" ht="13.5" thickBot="1">
      <c r="A36" s="16"/>
      <c r="B36" s="43"/>
      <c r="C36" s="2"/>
      <c r="D36" s="1101"/>
      <c r="E36" s="1102"/>
      <c r="F36" s="1102"/>
      <c r="G36" s="1103"/>
      <c r="H36" s="888"/>
      <c r="I36" s="40"/>
      <c r="J36" s="1069"/>
      <c r="K36" s="1101"/>
      <c r="L36" s="1102"/>
      <c r="M36" s="1102"/>
      <c r="N36" s="1103"/>
      <c r="O36" s="888"/>
      <c r="P36" s="40" t="s">
        <v>569</v>
      </c>
      <c r="Q36" s="1069"/>
    </row>
    <row r="37" spans="1:17" ht="12.75">
      <c r="A37" s="16"/>
      <c r="B37" s="43"/>
      <c r="C37" s="2"/>
      <c r="D37" s="78"/>
      <c r="E37" s="78"/>
      <c r="F37" s="78"/>
      <c r="G37" s="78"/>
      <c r="H37" s="16"/>
      <c r="I37" s="42"/>
      <c r="J37" s="34"/>
      <c r="K37" s="78"/>
      <c r="L37" s="78"/>
      <c r="M37" s="78"/>
      <c r="N37" s="78"/>
      <c r="O37" s="16"/>
      <c r="P37" s="234"/>
      <c r="Q37" s="34"/>
    </row>
    <row r="38" spans="1:17" ht="13.5" thickBot="1">
      <c r="A38" s="16"/>
      <c r="B38" s="16"/>
      <c r="C38" s="16"/>
      <c r="D38" s="57"/>
      <c r="E38" s="57"/>
      <c r="F38" s="57"/>
      <c r="G38" s="57"/>
      <c r="H38" s="57"/>
      <c r="I38" s="58"/>
      <c r="J38" s="34"/>
      <c r="K38" s="57"/>
      <c r="L38" s="57"/>
      <c r="M38" s="57"/>
      <c r="N38" s="57"/>
      <c r="O38" s="57"/>
      <c r="P38" s="236"/>
      <c r="Q38" s="34"/>
    </row>
    <row r="39" spans="1:17" ht="12.75" customHeight="1">
      <c r="A39" s="1045" t="s">
        <v>15</v>
      </c>
      <c r="B39" s="1048" t="s">
        <v>14</v>
      </c>
      <c r="C39" s="1045" t="s">
        <v>387</v>
      </c>
      <c r="D39" s="1070" t="s">
        <v>28</v>
      </c>
      <c r="E39" s="1071"/>
      <c r="F39" s="1071"/>
      <c r="G39" s="1071"/>
      <c r="H39" s="1071"/>
      <c r="I39" s="1071"/>
      <c r="J39" s="1072"/>
      <c r="K39" s="1070" t="s">
        <v>29</v>
      </c>
      <c r="L39" s="1071"/>
      <c r="M39" s="1071"/>
      <c r="N39" s="1071"/>
      <c r="O39" s="1071"/>
      <c r="P39" s="1071"/>
      <c r="Q39" s="1072"/>
    </row>
    <row r="40" spans="1:17" s="1" customFormat="1" ht="9.75">
      <c r="A40" s="1046"/>
      <c r="B40" s="1049"/>
      <c r="C40" s="1046"/>
      <c r="D40" s="1051" t="s">
        <v>9</v>
      </c>
      <c r="E40" s="1026" t="s">
        <v>10</v>
      </c>
      <c r="F40" s="1028" t="s">
        <v>11</v>
      </c>
      <c r="G40" s="1028" t="s">
        <v>12</v>
      </c>
      <c r="H40" s="1028" t="s">
        <v>40</v>
      </c>
      <c r="I40" s="1063" t="s">
        <v>16</v>
      </c>
      <c r="J40" s="1067" t="s">
        <v>17</v>
      </c>
      <c r="K40" s="1051" t="s">
        <v>9</v>
      </c>
      <c r="L40" s="1028" t="s">
        <v>10</v>
      </c>
      <c r="M40" s="1026" t="s">
        <v>11</v>
      </c>
      <c r="N40" s="1028" t="s">
        <v>12</v>
      </c>
      <c r="O40" s="1028" t="s">
        <v>40</v>
      </c>
      <c r="P40" s="1063" t="s">
        <v>16</v>
      </c>
      <c r="Q40" s="1067" t="s">
        <v>17</v>
      </c>
    </row>
    <row r="41" spans="1:17" ht="13.5" thickBot="1">
      <c r="A41" s="1047"/>
      <c r="B41" s="1050"/>
      <c r="C41" s="1047"/>
      <c r="D41" s="1052"/>
      <c r="E41" s="1097"/>
      <c r="F41" s="1029"/>
      <c r="G41" s="1029"/>
      <c r="H41" s="1029"/>
      <c r="I41" s="1064"/>
      <c r="J41" s="1066"/>
      <c r="K41" s="1052"/>
      <c r="L41" s="1029"/>
      <c r="M41" s="1097"/>
      <c r="N41" s="1029"/>
      <c r="O41" s="1029"/>
      <c r="P41" s="1064"/>
      <c r="Q41" s="1066"/>
    </row>
    <row r="42" spans="1:20" s="1" customFormat="1" ht="12" customHeight="1">
      <c r="A42" s="199">
        <v>18</v>
      </c>
      <c r="B42" s="39" t="s">
        <v>151</v>
      </c>
      <c r="C42" s="38" t="s">
        <v>152</v>
      </c>
      <c r="D42" s="10">
        <v>2</v>
      </c>
      <c r="E42" s="48">
        <v>2</v>
      </c>
      <c r="F42" s="9"/>
      <c r="G42" s="9"/>
      <c r="H42" s="9">
        <v>69</v>
      </c>
      <c r="I42" s="9" t="s">
        <v>81</v>
      </c>
      <c r="J42" s="11">
        <v>5</v>
      </c>
      <c r="K42" s="49"/>
      <c r="L42" s="50"/>
      <c r="M42" s="50"/>
      <c r="N42" s="50"/>
      <c r="O42" s="50"/>
      <c r="P42" s="51"/>
      <c r="Q42" s="52"/>
      <c r="R42" s="2"/>
      <c r="S42" s="2"/>
      <c r="T42" s="2"/>
    </row>
    <row r="43" spans="1:17" ht="13.5" thickBot="1">
      <c r="A43" s="200">
        <v>19</v>
      </c>
      <c r="B43" s="39" t="s">
        <v>153</v>
      </c>
      <c r="C43" s="38" t="s">
        <v>262</v>
      </c>
      <c r="D43" s="36"/>
      <c r="E43" s="62"/>
      <c r="F43" s="37"/>
      <c r="G43" s="37"/>
      <c r="H43" s="37"/>
      <c r="I43" s="9"/>
      <c r="J43" s="11"/>
      <c r="K43" s="36">
        <v>2</v>
      </c>
      <c r="L43" s="37">
        <v>2</v>
      </c>
      <c r="M43" s="37"/>
      <c r="N43" s="37"/>
      <c r="O43" s="37">
        <f>(Q43*25-SUM(K43:N43)*14)</f>
        <v>69</v>
      </c>
      <c r="P43" s="9" t="s">
        <v>81</v>
      </c>
      <c r="Q43" s="53">
        <v>5</v>
      </c>
    </row>
    <row r="44" spans="1:17" ht="12.75">
      <c r="A44" s="1078" t="s">
        <v>25</v>
      </c>
      <c r="B44" s="1033"/>
      <c r="C44" s="1034"/>
      <c r="D44" s="35">
        <f>SUM(D42:D43)</f>
        <v>2</v>
      </c>
      <c r="E44" s="47">
        <f>SUM(E42:E43)</f>
        <v>2</v>
      </c>
      <c r="F44" s="893"/>
      <c r="G44" s="893"/>
      <c r="H44" s="1040">
        <f>SUM(H42:H43)</f>
        <v>69</v>
      </c>
      <c r="I44" s="1040" t="s">
        <v>200</v>
      </c>
      <c r="J44" s="1035">
        <f aca="true" t="shared" si="3" ref="J44:O44">SUM(J42:J43)</f>
        <v>5</v>
      </c>
      <c r="K44" s="31">
        <f t="shared" si="3"/>
        <v>2</v>
      </c>
      <c r="L44" s="33">
        <f t="shared" si="3"/>
        <v>2</v>
      </c>
      <c r="M44" s="894"/>
      <c r="N44" s="894"/>
      <c r="O44" s="1040">
        <f t="shared" si="3"/>
        <v>69</v>
      </c>
      <c r="P44" s="1040" t="s">
        <v>200</v>
      </c>
      <c r="Q44" s="1035">
        <f>SUM(Q42:Q43)</f>
        <v>5</v>
      </c>
    </row>
    <row r="45" spans="1:17" ht="13.5" thickBot="1">
      <c r="A45" s="1037"/>
      <c r="B45" s="1079"/>
      <c r="C45" s="1080"/>
      <c r="D45" s="1073">
        <f>SUM(D44:G44)</f>
        <v>4</v>
      </c>
      <c r="E45" s="1074"/>
      <c r="F45" s="1074"/>
      <c r="G45" s="1075"/>
      <c r="H45" s="1076"/>
      <c r="I45" s="1076"/>
      <c r="J45" s="1093"/>
      <c r="K45" s="1073">
        <f>SUM(K44:N44)</f>
        <v>4</v>
      </c>
      <c r="L45" s="1074"/>
      <c r="M45" s="1074"/>
      <c r="N45" s="1075"/>
      <c r="O45" s="1076"/>
      <c r="P45" s="1076"/>
      <c r="Q45" s="1093"/>
    </row>
    <row r="46" spans="1:17" ht="12.75">
      <c r="A46" s="16"/>
      <c r="B46" s="1107" t="s">
        <v>45</v>
      </c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7"/>
      <c r="O46" s="1107"/>
      <c r="P46" s="1107"/>
      <c r="Q46" s="1107"/>
    </row>
    <row r="47" spans="1:17" ht="12.75">
      <c r="A47" s="16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16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25" ht="12.75">
      <c r="A49" s="54"/>
      <c r="B49" s="41"/>
      <c r="C49" s="2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T49" s="83"/>
      <c r="U49" s="83"/>
      <c r="V49" s="83"/>
      <c r="W49" s="83"/>
      <c r="X49" s="83"/>
      <c r="Y49" s="82"/>
    </row>
    <row r="50" spans="1:29" ht="12.75">
      <c r="A50" s="28" t="s">
        <v>140</v>
      </c>
      <c r="B50" s="28" t="s">
        <v>139</v>
      </c>
      <c r="C50" s="28"/>
      <c r="D50" s="28"/>
      <c r="E50" s="28"/>
      <c r="F50" s="28"/>
      <c r="G50" s="28"/>
      <c r="H50" s="28"/>
      <c r="I50" s="28" t="s">
        <v>138</v>
      </c>
      <c r="J50" s="28"/>
      <c r="K50" s="28"/>
      <c r="L50" s="28"/>
      <c r="M50" s="28"/>
      <c r="N50" s="28"/>
      <c r="O50" s="28"/>
      <c r="P50" s="28"/>
      <c r="Q50" s="28"/>
      <c r="T50" s="83"/>
      <c r="U50" s="83"/>
      <c r="V50" s="83"/>
      <c r="W50" s="82"/>
      <c r="X50" s="1030"/>
      <c r="Y50" s="1030"/>
      <c r="AC50" s="5"/>
    </row>
    <row r="51" spans="1:29" ht="12.75">
      <c r="A51" s="28"/>
      <c r="B51" s="89" t="s">
        <v>143</v>
      </c>
      <c r="C51" s="85"/>
      <c r="D51" s="85"/>
      <c r="E51" s="85"/>
      <c r="F51" s="85"/>
      <c r="G51" s="85"/>
      <c r="H51" s="28"/>
      <c r="I51" s="89" t="s">
        <v>144</v>
      </c>
      <c r="J51" s="28"/>
      <c r="K51" s="28"/>
      <c r="L51" s="28"/>
      <c r="M51" s="28"/>
      <c r="N51" s="28"/>
      <c r="O51" s="28"/>
      <c r="P51" s="28"/>
      <c r="Q51" s="28"/>
      <c r="AC51" s="5"/>
    </row>
    <row r="52" spans="1:29" ht="12.75">
      <c r="A52" s="28"/>
      <c r="B52" s="89"/>
      <c r="C52" s="85"/>
      <c r="D52" s="85"/>
      <c r="E52" s="85"/>
      <c r="F52" s="85"/>
      <c r="G52" s="85"/>
      <c r="H52" s="28"/>
      <c r="I52" s="89"/>
      <c r="J52" s="28"/>
      <c r="K52" s="28"/>
      <c r="L52" s="28"/>
      <c r="M52" s="28"/>
      <c r="N52" s="28"/>
      <c r="O52" s="28"/>
      <c r="P52" s="28"/>
      <c r="Q52" s="28"/>
      <c r="AC52" s="5"/>
    </row>
    <row r="53" spans="1:29" ht="12.75">
      <c r="A53" s="28"/>
      <c r="B53" s="89"/>
      <c r="C53" s="85"/>
      <c r="D53" s="85"/>
      <c r="E53" s="85"/>
      <c r="F53" s="85"/>
      <c r="G53" s="85"/>
      <c r="H53" s="28"/>
      <c r="I53" s="89"/>
      <c r="J53" s="28"/>
      <c r="K53" s="28"/>
      <c r="L53" s="28"/>
      <c r="M53" s="28"/>
      <c r="N53" s="28"/>
      <c r="O53" s="28"/>
      <c r="P53" s="28"/>
      <c r="Q53" s="28"/>
      <c r="AC53" s="5"/>
    </row>
    <row r="54" spans="1:29" ht="12.75">
      <c r="A54" s="28"/>
      <c r="B54" s="89"/>
      <c r="C54" s="85"/>
      <c r="D54" s="85"/>
      <c r="E54" s="85"/>
      <c r="F54" s="85"/>
      <c r="G54" s="85"/>
      <c r="H54" s="28"/>
      <c r="I54" s="89"/>
      <c r="J54" s="28"/>
      <c r="K54" s="28"/>
      <c r="L54" s="28"/>
      <c r="M54" s="28"/>
      <c r="N54" s="28"/>
      <c r="O54" s="28"/>
      <c r="P54" s="28"/>
      <c r="Q54" s="28"/>
      <c r="AC54" s="5"/>
    </row>
    <row r="55" spans="1:40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J55" s="4"/>
      <c r="AK55" s="4"/>
      <c r="AL55" s="4"/>
      <c r="AM55" s="4"/>
      <c r="AN55" s="4"/>
    </row>
    <row r="56" spans="1:17" ht="12.75">
      <c r="A56" s="28"/>
      <c r="B56" s="28" t="s">
        <v>142</v>
      </c>
      <c r="C56" s="28"/>
      <c r="D56" s="28"/>
      <c r="E56" s="28"/>
      <c r="F56" s="28"/>
      <c r="G56" s="28"/>
      <c r="H56" s="28"/>
      <c r="I56" s="28" t="s">
        <v>141</v>
      </c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85"/>
      <c r="B57" s="85" t="s">
        <v>145</v>
      </c>
      <c r="C57" s="85"/>
      <c r="D57" s="85"/>
      <c r="E57" s="85"/>
      <c r="F57" s="85"/>
      <c r="G57" s="85"/>
      <c r="H57" s="85"/>
      <c r="I57" s="85" t="s">
        <v>145</v>
      </c>
      <c r="J57" s="85"/>
      <c r="K57" s="85"/>
      <c r="L57" s="85"/>
      <c r="M57" s="85"/>
      <c r="N57" s="85"/>
      <c r="O57" s="85"/>
      <c r="P57" s="85"/>
      <c r="Q57" s="85"/>
    </row>
    <row r="58" spans="2:17" ht="12.7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 ht="12.7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</sheetData>
  <sheetProtection/>
  <mergeCells count="68">
    <mergeCell ref="P40:P41"/>
    <mergeCell ref="J44:J45"/>
    <mergeCell ref="P44:P45"/>
    <mergeCell ref="L40:L41"/>
    <mergeCell ref="X50:Y50"/>
    <mergeCell ref="A31:C32"/>
    <mergeCell ref="H31:H32"/>
    <mergeCell ref="O31:O32"/>
    <mergeCell ref="D32:G32"/>
    <mergeCell ref="K32:N32"/>
    <mergeCell ref="O44:O45"/>
    <mergeCell ref="K45:N45"/>
    <mergeCell ref="F12:F13"/>
    <mergeCell ref="G12:G13"/>
    <mergeCell ref="B46:Q46"/>
    <mergeCell ref="Q44:Q45"/>
    <mergeCell ref="A39:A41"/>
    <mergeCell ref="B39:B41"/>
    <mergeCell ref="C39:C41"/>
    <mergeCell ref="D39:J39"/>
    <mergeCell ref="I44:I45"/>
    <mergeCell ref="H44:H45"/>
    <mergeCell ref="D45:G45"/>
    <mergeCell ref="H40:H41"/>
    <mergeCell ref="I40:I41"/>
    <mergeCell ref="J40:J41"/>
    <mergeCell ref="D40:D41"/>
    <mergeCell ref="E40:E41"/>
    <mergeCell ref="G40:G41"/>
    <mergeCell ref="J31:J32"/>
    <mergeCell ref="K12:K13"/>
    <mergeCell ref="P12:P13"/>
    <mergeCell ref="Q12:Q13"/>
    <mergeCell ref="Q31:Q32"/>
    <mergeCell ref="L12:L13"/>
    <mergeCell ref="M12:M13"/>
    <mergeCell ref="N12:N13"/>
    <mergeCell ref="O12:O13"/>
    <mergeCell ref="A1:C1"/>
    <mergeCell ref="A3:P3"/>
    <mergeCell ref="A5:F5"/>
    <mergeCell ref="D11:J11"/>
    <mergeCell ref="A6:F6"/>
    <mergeCell ref="A7:F7"/>
    <mergeCell ref="C11:C13"/>
    <mergeCell ref="H12:H13"/>
    <mergeCell ref="I12:I13"/>
    <mergeCell ref="J12:J13"/>
    <mergeCell ref="A44:C45"/>
    <mergeCell ref="J34:J36"/>
    <mergeCell ref="Q34:Q36"/>
    <mergeCell ref="K39:Q39"/>
    <mergeCell ref="K40:K41"/>
    <mergeCell ref="N40:N41"/>
    <mergeCell ref="O40:O41"/>
    <mergeCell ref="F40:F41"/>
    <mergeCell ref="D35:G36"/>
    <mergeCell ref="K35:N36"/>
    <mergeCell ref="Q40:Q41"/>
    <mergeCell ref="M40:M41"/>
    <mergeCell ref="A8:F8"/>
    <mergeCell ref="A10:Q10"/>
    <mergeCell ref="K11:Q11"/>
    <mergeCell ref="A9:F9"/>
    <mergeCell ref="A11:A13"/>
    <mergeCell ref="B11:B13"/>
    <mergeCell ref="D12:D13"/>
    <mergeCell ref="E12:E13"/>
  </mergeCells>
  <printOptions/>
  <pageMargins left="0.3937007874015748" right="0.3937007874015748" top="0.4724409448818898" bottom="0.4724409448818898" header="0.5118110236220472" footer="0.5118110236220472"/>
  <pageSetup horizontalDpi="600" verticalDpi="600" orientation="portrait" paperSize="9" r:id="rId1"/>
  <headerFooter alignWithMargins="0">
    <oddFooter>&amp;R3/7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F88"/>
  <sheetViews>
    <sheetView zoomScalePageLayoutView="0" workbookViewId="0" topLeftCell="A14">
      <selection activeCell="V32" sqref="V32"/>
    </sheetView>
  </sheetViews>
  <sheetFormatPr defaultColWidth="9.140625" defaultRowHeight="12.75"/>
  <cols>
    <col min="1" max="1" width="3.28125" style="0" customWidth="1"/>
    <col min="2" max="2" width="27.8515625" style="0" customWidth="1"/>
    <col min="3" max="3" width="11.8515625" style="3" customWidth="1"/>
    <col min="4" max="4" width="3.421875" style="0" customWidth="1"/>
    <col min="5" max="5" width="2.421875" style="0" customWidth="1"/>
    <col min="6" max="6" width="3.28125" style="0" customWidth="1"/>
    <col min="7" max="7" width="2.140625" style="0" customWidth="1"/>
    <col min="8" max="8" width="3.421875" style="0" customWidth="1"/>
    <col min="9" max="9" width="6.421875" style="0" customWidth="1"/>
    <col min="10" max="10" width="5.00390625" style="0" customWidth="1"/>
    <col min="11" max="11" width="2.7109375" style="0" customWidth="1"/>
    <col min="12" max="13" width="2.421875" style="0" customWidth="1"/>
    <col min="14" max="14" width="2.7109375" style="0" customWidth="1"/>
    <col min="15" max="15" width="3.8515625" style="0" customWidth="1"/>
    <col min="16" max="16" width="6.421875" style="0" customWidth="1"/>
    <col min="17" max="17" width="5.00390625" style="0" customWidth="1"/>
    <col min="18" max="19" width="9.140625" style="0" hidden="1" customWidth="1"/>
    <col min="24" max="24" width="10.7109375" style="0" customWidth="1"/>
  </cols>
  <sheetData>
    <row r="1" spans="1:16" ht="12.75">
      <c r="A1" s="1077" t="s">
        <v>72</v>
      </c>
      <c r="B1" s="1077"/>
      <c r="C1" s="1077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16" ht="12.75">
      <c r="A2" s="25" t="s">
        <v>562</v>
      </c>
      <c r="B2" s="88"/>
      <c r="C2" s="88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19" ht="15">
      <c r="A3" s="1094" t="s">
        <v>21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28"/>
      <c r="R3" s="7"/>
      <c r="S3" s="7"/>
    </row>
    <row r="4" spans="1:58" ht="12.75">
      <c r="A4" s="1084" t="s">
        <v>76</v>
      </c>
      <c r="B4" s="1084"/>
      <c r="C4" s="1084"/>
      <c r="D4" s="1084"/>
      <c r="E4" s="1084"/>
      <c r="F4" s="1084"/>
      <c r="G4" s="20"/>
      <c r="H4" s="20"/>
      <c r="I4" s="70"/>
      <c r="J4" s="70"/>
      <c r="K4" s="7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4"/>
      <c r="BD4" s="14"/>
      <c r="BE4" s="13"/>
      <c r="BF4" s="13"/>
    </row>
    <row r="5" spans="1:20" ht="12.75">
      <c r="A5" s="1081" t="s">
        <v>606</v>
      </c>
      <c r="B5" s="1082"/>
      <c r="C5" s="1082"/>
      <c r="D5" s="1082"/>
      <c r="E5" s="1082"/>
      <c r="F5" s="1082"/>
      <c r="G5" s="24"/>
      <c r="H5" s="24"/>
      <c r="I5" s="356"/>
      <c r="J5" s="356"/>
      <c r="K5" s="356"/>
      <c r="L5" s="8"/>
      <c r="M5" s="8"/>
      <c r="N5" s="8"/>
      <c r="O5" s="8"/>
      <c r="P5" s="8"/>
      <c r="Q5" s="8"/>
      <c r="R5" s="25"/>
      <c r="S5" s="25"/>
      <c r="T5" s="19"/>
    </row>
    <row r="6" spans="1:20" ht="12.75">
      <c r="A6" s="1083" t="s">
        <v>257</v>
      </c>
      <c r="B6" s="1083"/>
      <c r="C6" s="1083"/>
      <c r="D6" s="1083"/>
      <c r="E6" s="1083"/>
      <c r="F6" s="1083"/>
      <c r="G6" s="8"/>
      <c r="H6" s="8"/>
      <c r="I6" s="8"/>
      <c r="J6" s="18"/>
      <c r="K6" s="18"/>
      <c r="L6" s="18"/>
      <c r="M6" s="18"/>
      <c r="N6" s="18"/>
      <c r="O6" s="18"/>
      <c r="P6" s="18"/>
      <c r="Q6" s="18"/>
      <c r="R6" s="5"/>
      <c r="S6" s="19"/>
      <c r="T6" s="19"/>
    </row>
    <row r="7" spans="1:20" ht="12.75">
      <c r="A7" s="1083" t="s">
        <v>77</v>
      </c>
      <c r="B7" s="1083"/>
      <c r="C7" s="1083"/>
      <c r="D7" s="1083"/>
      <c r="E7" s="1083"/>
      <c r="F7" s="1083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2.75">
      <c r="A8" s="1084" t="s">
        <v>605</v>
      </c>
      <c r="B8" s="1084"/>
      <c r="C8" s="1084"/>
      <c r="D8" s="1084"/>
      <c r="E8" s="1084"/>
      <c r="F8" s="1084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1" ht="18.75" customHeight="1" thickBot="1">
      <c r="A9" s="1095" t="s">
        <v>74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U9" s="4"/>
    </row>
    <row r="10" spans="1:17" s="1" customFormat="1" ht="13.5" customHeight="1">
      <c r="A10" s="1057" t="s">
        <v>15</v>
      </c>
      <c r="B10" s="1057" t="s">
        <v>6</v>
      </c>
      <c r="C10" s="1057" t="s">
        <v>387</v>
      </c>
      <c r="D10" s="1126" t="s">
        <v>30</v>
      </c>
      <c r="E10" s="1127"/>
      <c r="F10" s="1127"/>
      <c r="G10" s="1127"/>
      <c r="H10" s="1127"/>
      <c r="I10" s="1127"/>
      <c r="J10" s="1128"/>
      <c r="K10" s="1126" t="s">
        <v>31</v>
      </c>
      <c r="L10" s="1127"/>
      <c r="M10" s="1127"/>
      <c r="N10" s="1127"/>
      <c r="O10" s="1127"/>
      <c r="P10" s="1127"/>
      <c r="Q10" s="1128"/>
    </row>
    <row r="11" spans="1:17" s="1" customFormat="1" ht="12.75" customHeight="1">
      <c r="A11" s="1058"/>
      <c r="B11" s="1058"/>
      <c r="C11" s="1058"/>
      <c r="D11" s="1055" t="s">
        <v>9</v>
      </c>
      <c r="E11" s="1053" t="s">
        <v>10</v>
      </c>
      <c r="F11" s="1053" t="s">
        <v>11</v>
      </c>
      <c r="G11" s="1053" t="s">
        <v>12</v>
      </c>
      <c r="H11" s="1053" t="s">
        <v>40</v>
      </c>
      <c r="I11" s="1063" t="s">
        <v>16</v>
      </c>
      <c r="J11" s="1129" t="s">
        <v>17</v>
      </c>
      <c r="K11" s="1055" t="s">
        <v>9</v>
      </c>
      <c r="L11" s="1053" t="s">
        <v>10</v>
      </c>
      <c r="M11" s="1053" t="s">
        <v>11</v>
      </c>
      <c r="N11" s="1053" t="s">
        <v>12</v>
      </c>
      <c r="O11" s="1053" t="s">
        <v>40</v>
      </c>
      <c r="P11" s="1063" t="s">
        <v>16</v>
      </c>
      <c r="Q11" s="1129" t="s">
        <v>17</v>
      </c>
    </row>
    <row r="12" spans="1:17" s="1" customFormat="1" ht="10.5" thickBot="1">
      <c r="A12" s="1085"/>
      <c r="B12" s="1085"/>
      <c r="C12" s="1125"/>
      <c r="D12" s="1056"/>
      <c r="E12" s="1124"/>
      <c r="F12" s="1054"/>
      <c r="G12" s="1054"/>
      <c r="H12" s="1054"/>
      <c r="I12" s="1054"/>
      <c r="J12" s="1117"/>
      <c r="K12" s="1056"/>
      <c r="L12" s="1054"/>
      <c r="M12" s="1124"/>
      <c r="N12" s="1054"/>
      <c r="O12" s="1054"/>
      <c r="P12" s="1054"/>
      <c r="Q12" s="1117"/>
    </row>
    <row r="13" spans="1:17" s="240" customFormat="1" ht="9.75">
      <c r="A13" s="46">
        <v>1</v>
      </c>
      <c r="B13" s="272" t="s">
        <v>114</v>
      </c>
      <c r="C13" s="276" t="s">
        <v>222</v>
      </c>
      <c r="D13" s="102">
        <v>2</v>
      </c>
      <c r="E13" s="86">
        <v>1</v>
      </c>
      <c r="F13" s="86">
        <v>1</v>
      </c>
      <c r="G13" s="86"/>
      <c r="H13" s="86">
        <f>(J13*25-SUM(D13:G13)*14)</f>
        <v>44</v>
      </c>
      <c r="I13" s="186" t="s">
        <v>81</v>
      </c>
      <c r="J13" s="104">
        <v>4</v>
      </c>
      <c r="K13" s="102"/>
      <c r="L13" s="86"/>
      <c r="M13" s="86"/>
      <c r="N13" s="86"/>
      <c r="O13" s="86"/>
      <c r="P13" s="86"/>
      <c r="Q13" s="104"/>
    </row>
    <row r="14" spans="1:17" s="240" customFormat="1" ht="9.75">
      <c r="A14" s="12">
        <v>2</v>
      </c>
      <c r="B14" s="274" t="s">
        <v>527</v>
      </c>
      <c r="C14" s="277" t="s">
        <v>223</v>
      </c>
      <c r="D14" s="102"/>
      <c r="E14" s="86"/>
      <c r="F14" s="86"/>
      <c r="G14" s="86">
        <v>2</v>
      </c>
      <c r="H14" s="86">
        <f aca="true" t="shared" si="0" ref="H14:H19">(J14*25-SUM(D14:G14)*14)</f>
        <v>22</v>
      </c>
      <c r="I14" s="186" t="s">
        <v>12</v>
      </c>
      <c r="J14" s="104">
        <f>INT((3*D14+1.5*E14+1.5*F14+2*G14)*0.56)</f>
        <v>2</v>
      </c>
      <c r="K14" s="102"/>
      <c r="L14" s="86"/>
      <c r="M14" s="86"/>
      <c r="N14" s="86"/>
      <c r="O14" s="86"/>
      <c r="P14" s="86"/>
      <c r="Q14" s="104"/>
    </row>
    <row r="15" spans="1:17" s="240" customFormat="1" ht="9.75">
      <c r="A15" s="12">
        <v>3</v>
      </c>
      <c r="B15" s="274" t="s">
        <v>121</v>
      </c>
      <c r="C15" s="277" t="s">
        <v>224</v>
      </c>
      <c r="D15" s="102">
        <v>2</v>
      </c>
      <c r="E15" s="86"/>
      <c r="F15" s="86">
        <v>2</v>
      </c>
      <c r="G15" s="86"/>
      <c r="H15" s="86">
        <f t="shared" si="0"/>
        <v>44</v>
      </c>
      <c r="I15" s="186" t="s">
        <v>9</v>
      </c>
      <c r="J15" s="104">
        <v>4</v>
      </c>
      <c r="K15" s="102"/>
      <c r="L15" s="86"/>
      <c r="M15" s="86"/>
      <c r="N15" s="86"/>
      <c r="O15" s="86"/>
      <c r="P15" s="86"/>
      <c r="Q15" s="104"/>
    </row>
    <row r="16" spans="1:17" s="240" customFormat="1" ht="9.75">
      <c r="A16" s="12">
        <v>4</v>
      </c>
      <c r="B16" s="274" t="s">
        <v>162</v>
      </c>
      <c r="C16" s="277" t="s">
        <v>225</v>
      </c>
      <c r="D16" s="102">
        <v>2</v>
      </c>
      <c r="E16" s="86">
        <v>1</v>
      </c>
      <c r="F16" s="86"/>
      <c r="G16" s="86"/>
      <c r="H16" s="86">
        <f t="shared" si="0"/>
        <v>58</v>
      </c>
      <c r="I16" s="86" t="s">
        <v>9</v>
      </c>
      <c r="J16" s="104">
        <v>4</v>
      </c>
      <c r="K16" s="102"/>
      <c r="L16" s="86"/>
      <c r="M16" s="86"/>
      <c r="N16" s="86"/>
      <c r="O16" s="86"/>
      <c r="P16" s="86"/>
      <c r="Q16" s="104"/>
    </row>
    <row r="17" spans="1:17" s="241" customFormat="1" ht="9.75">
      <c r="A17" s="12">
        <v>5</v>
      </c>
      <c r="B17" s="274" t="s">
        <v>608</v>
      </c>
      <c r="C17" s="277" t="s">
        <v>226</v>
      </c>
      <c r="D17" s="102">
        <v>2</v>
      </c>
      <c r="E17" s="86"/>
      <c r="F17" s="86">
        <v>1</v>
      </c>
      <c r="G17" s="86"/>
      <c r="H17" s="86">
        <f t="shared" si="0"/>
        <v>58</v>
      </c>
      <c r="I17" s="186" t="s">
        <v>81</v>
      </c>
      <c r="J17" s="104">
        <f>INT((3*D17+1.5*E17+1.5*F17+2*G17)*0.56)</f>
        <v>4</v>
      </c>
      <c r="K17" s="102"/>
      <c r="L17" s="86"/>
      <c r="M17" s="86"/>
      <c r="N17" s="86"/>
      <c r="O17" s="86"/>
      <c r="P17" s="86"/>
      <c r="Q17" s="104"/>
    </row>
    <row r="18" spans="1:17" s="241" customFormat="1" ht="9.75">
      <c r="A18" s="12">
        <v>6</v>
      </c>
      <c r="B18" s="274" t="s">
        <v>607</v>
      </c>
      <c r="C18" s="277" t="s">
        <v>227</v>
      </c>
      <c r="D18" s="102">
        <v>2</v>
      </c>
      <c r="E18" s="86"/>
      <c r="F18" s="86">
        <v>1</v>
      </c>
      <c r="G18" s="86">
        <v>1</v>
      </c>
      <c r="H18" s="86">
        <f t="shared" si="0"/>
        <v>44</v>
      </c>
      <c r="I18" s="186" t="s">
        <v>9</v>
      </c>
      <c r="J18" s="104">
        <v>4</v>
      </c>
      <c r="K18" s="102"/>
      <c r="L18" s="86"/>
      <c r="M18" s="86"/>
      <c r="N18" s="86"/>
      <c r="O18" s="86"/>
      <c r="P18" s="86"/>
      <c r="Q18" s="104"/>
    </row>
    <row r="19" spans="1:17" s="241" customFormat="1" ht="9.75">
      <c r="A19" s="12">
        <v>7</v>
      </c>
      <c r="B19" s="274" t="s">
        <v>180</v>
      </c>
      <c r="C19" s="277" t="s">
        <v>228</v>
      </c>
      <c r="D19" s="102">
        <v>2</v>
      </c>
      <c r="E19" s="86"/>
      <c r="F19" s="201">
        <v>1</v>
      </c>
      <c r="G19" s="86"/>
      <c r="H19" s="86">
        <f t="shared" si="0"/>
        <v>58</v>
      </c>
      <c r="I19" s="186" t="s">
        <v>81</v>
      </c>
      <c r="J19" s="104">
        <f>INT((3*D19+1.5*E19+1.5*F19+2*G19)*0.56)</f>
        <v>4</v>
      </c>
      <c r="K19" s="107"/>
      <c r="L19" s="105"/>
      <c r="M19" s="105"/>
      <c r="N19" s="105"/>
      <c r="O19" s="105"/>
      <c r="P19" s="105"/>
      <c r="Q19" s="106"/>
    </row>
    <row r="20" spans="1:17" s="241" customFormat="1" ht="9.75">
      <c r="A20" s="12">
        <v>8</v>
      </c>
      <c r="B20" s="274" t="s">
        <v>116</v>
      </c>
      <c r="C20" s="277" t="s">
        <v>229</v>
      </c>
      <c r="D20" s="230"/>
      <c r="E20" s="87"/>
      <c r="F20" s="87"/>
      <c r="G20" s="87"/>
      <c r="H20" s="87"/>
      <c r="I20" s="231"/>
      <c r="J20" s="104"/>
      <c r="K20" s="102">
        <v>2</v>
      </c>
      <c r="L20" s="86"/>
      <c r="M20" s="86">
        <v>1</v>
      </c>
      <c r="N20" s="86"/>
      <c r="O20" s="86">
        <f>(Q20*25-SUM(K20:N20)*14)</f>
        <v>33</v>
      </c>
      <c r="P20" s="86" t="s">
        <v>81</v>
      </c>
      <c r="Q20" s="104">
        <v>3</v>
      </c>
    </row>
    <row r="21" spans="1:17" s="241" customFormat="1" ht="9.75">
      <c r="A21" s="12">
        <v>9</v>
      </c>
      <c r="B21" s="274" t="s">
        <v>528</v>
      </c>
      <c r="C21" s="277" t="s">
        <v>230</v>
      </c>
      <c r="D21" s="230"/>
      <c r="E21" s="87"/>
      <c r="F21" s="87"/>
      <c r="G21" s="87"/>
      <c r="H21" s="87"/>
      <c r="I21" s="231"/>
      <c r="J21" s="104"/>
      <c r="K21" s="102"/>
      <c r="L21" s="86"/>
      <c r="M21" s="86"/>
      <c r="N21" s="86">
        <v>2</v>
      </c>
      <c r="O21" s="86">
        <f aca="true" t="shared" si="1" ref="O21:O27">(Q21*25-SUM(K21:N21)*14)</f>
        <v>22</v>
      </c>
      <c r="P21" s="186" t="s">
        <v>12</v>
      </c>
      <c r="Q21" s="104">
        <f>INT((3*K21+1.5*L21+1.5*M21+2*N21)*0.56)</f>
        <v>2</v>
      </c>
    </row>
    <row r="22" spans="1:17" s="241" customFormat="1" ht="9.75">
      <c r="A22" s="12">
        <v>10</v>
      </c>
      <c r="B22" s="274" t="s">
        <v>122</v>
      </c>
      <c r="C22" s="277" t="s">
        <v>231</v>
      </c>
      <c r="D22" s="102"/>
      <c r="E22" s="86"/>
      <c r="F22" s="86"/>
      <c r="G22" s="86"/>
      <c r="H22" s="86"/>
      <c r="I22" s="186"/>
      <c r="J22" s="104"/>
      <c r="K22" s="102">
        <v>2</v>
      </c>
      <c r="L22" s="86"/>
      <c r="M22" s="86">
        <v>1</v>
      </c>
      <c r="N22" s="86"/>
      <c r="O22" s="86">
        <f t="shared" si="1"/>
        <v>33</v>
      </c>
      <c r="P22" s="86" t="s">
        <v>81</v>
      </c>
      <c r="Q22" s="104">
        <v>3</v>
      </c>
    </row>
    <row r="23" spans="1:17" s="241" customFormat="1" ht="9.75">
      <c r="A23" s="12">
        <v>11</v>
      </c>
      <c r="B23" s="274" t="s">
        <v>117</v>
      </c>
      <c r="C23" s="277" t="s">
        <v>232</v>
      </c>
      <c r="D23" s="102"/>
      <c r="E23" s="86"/>
      <c r="F23" s="86"/>
      <c r="G23" s="86"/>
      <c r="H23" s="86"/>
      <c r="I23" s="186"/>
      <c r="J23" s="104"/>
      <c r="K23" s="102">
        <v>2</v>
      </c>
      <c r="L23" s="86"/>
      <c r="M23" s="86">
        <v>1</v>
      </c>
      <c r="N23" s="86"/>
      <c r="O23" s="86">
        <f t="shared" si="1"/>
        <v>33</v>
      </c>
      <c r="P23" s="86" t="s">
        <v>81</v>
      </c>
      <c r="Q23" s="104">
        <v>3</v>
      </c>
    </row>
    <row r="24" spans="1:17" s="240" customFormat="1" ht="9.75">
      <c r="A24" s="12">
        <v>12</v>
      </c>
      <c r="B24" s="274" t="s">
        <v>277</v>
      </c>
      <c r="C24" s="277" t="s">
        <v>233</v>
      </c>
      <c r="D24" s="102"/>
      <c r="E24" s="86"/>
      <c r="F24" s="86"/>
      <c r="G24" s="86"/>
      <c r="H24" s="86"/>
      <c r="I24" s="186"/>
      <c r="J24" s="104"/>
      <c r="K24" s="102">
        <v>2</v>
      </c>
      <c r="L24" s="86"/>
      <c r="M24" s="86">
        <v>1</v>
      </c>
      <c r="N24" s="86"/>
      <c r="O24" s="86">
        <f t="shared" si="1"/>
        <v>33</v>
      </c>
      <c r="P24" s="86" t="s">
        <v>81</v>
      </c>
      <c r="Q24" s="104">
        <v>3</v>
      </c>
    </row>
    <row r="25" spans="1:17" s="240" customFormat="1" ht="9.75">
      <c r="A25" s="12">
        <v>13</v>
      </c>
      <c r="B25" s="1010" t="s">
        <v>622</v>
      </c>
      <c r="C25" s="277" t="s">
        <v>234</v>
      </c>
      <c r="D25" s="102"/>
      <c r="E25" s="86"/>
      <c r="F25" s="86"/>
      <c r="G25" s="86"/>
      <c r="H25" s="86"/>
      <c r="I25" s="186"/>
      <c r="J25" s="104"/>
      <c r="K25" s="102">
        <v>2</v>
      </c>
      <c r="L25" s="86"/>
      <c r="M25" s="86">
        <v>1</v>
      </c>
      <c r="N25" s="86"/>
      <c r="O25" s="86">
        <f t="shared" si="1"/>
        <v>33</v>
      </c>
      <c r="P25" s="86" t="s">
        <v>9</v>
      </c>
      <c r="Q25" s="104">
        <v>3</v>
      </c>
    </row>
    <row r="26" spans="1:17" s="240" customFormat="1" ht="9.75">
      <c r="A26" s="12">
        <v>14</v>
      </c>
      <c r="B26" s="274" t="s">
        <v>119</v>
      </c>
      <c r="C26" s="277" t="s">
        <v>271</v>
      </c>
      <c r="D26" s="102"/>
      <c r="E26" s="86"/>
      <c r="F26" s="86"/>
      <c r="G26" s="86"/>
      <c r="H26" s="86"/>
      <c r="I26" s="186"/>
      <c r="J26" s="104"/>
      <c r="K26" s="102">
        <v>2</v>
      </c>
      <c r="L26" s="86"/>
      <c r="M26" s="86">
        <v>1</v>
      </c>
      <c r="N26" s="86"/>
      <c r="O26" s="86">
        <f t="shared" si="1"/>
        <v>33</v>
      </c>
      <c r="P26" s="186" t="s">
        <v>9</v>
      </c>
      <c r="Q26" s="104">
        <v>3</v>
      </c>
    </row>
    <row r="27" spans="1:17" s="240" customFormat="1" ht="9.75">
      <c r="A27" s="12">
        <v>15</v>
      </c>
      <c r="B27" s="274" t="s">
        <v>270</v>
      </c>
      <c r="C27" s="277" t="s">
        <v>604</v>
      </c>
      <c r="D27" s="102"/>
      <c r="E27" s="86"/>
      <c r="F27" s="86"/>
      <c r="G27" s="86"/>
      <c r="H27" s="86"/>
      <c r="I27" s="186"/>
      <c r="J27" s="104"/>
      <c r="K27" s="102"/>
      <c r="L27" s="86">
        <v>2</v>
      </c>
      <c r="M27" s="86"/>
      <c r="N27" s="86"/>
      <c r="O27" s="86">
        <f t="shared" si="1"/>
        <v>22</v>
      </c>
      <c r="P27" s="186" t="s">
        <v>9</v>
      </c>
      <c r="Q27" s="104">
        <v>2</v>
      </c>
    </row>
    <row r="28" spans="1:17" s="240" customFormat="1" ht="10.5" thickBot="1">
      <c r="A28" s="12">
        <v>16</v>
      </c>
      <c r="B28" s="283" t="s">
        <v>255</v>
      </c>
      <c r="C28" s="286" t="s">
        <v>235</v>
      </c>
      <c r="D28" s="209"/>
      <c r="E28" s="187"/>
      <c r="F28" s="187"/>
      <c r="G28" s="187"/>
      <c r="H28" s="187"/>
      <c r="I28" s="190"/>
      <c r="J28" s="267"/>
      <c r="K28" s="209"/>
      <c r="L28" s="187"/>
      <c r="M28" s="187"/>
      <c r="N28" s="187"/>
      <c r="O28" s="86"/>
      <c r="P28" s="187" t="s">
        <v>9</v>
      </c>
      <c r="Q28" s="104">
        <v>4</v>
      </c>
    </row>
    <row r="29" spans="1:17" s="240" customFormat="1" ht="12.75" customHeight="1">
      <c r="A29" s="1038" t="s">
        <v>23</v>
      </c>
      <c r="B29" s="1038"/>
      <c r="C29" s="1039"/>
      <c r="D29" s="35">
        <f>SUM(D13:D28)</f>
        <v>12</v>
      </c>
      <c r="E29" s="62">
        <f>SUM(E13:E28)</f>
        <v>2</v>
      </c>
      <c r="F29" s="62">
        <f>SUM(F13:F28)</f>
        <v>6</v>
      </c>
      <c r="G29" s="62">
        <f>SUM(G13:G28)</f>
        <v>3</v>
      </c>
      <c r="H29" s="1040">
        <f>SUM(H13:H28)</f>
        <v>328</v>
      </c>
      <c r="I29" s="852" t="str">
        <f>COUNTIF(I13:I28,"E")&amp;"E"</f>
        <v>3E</v>
      </c>
      <c r="J29" s="1096">
        <f aca="true" t="shared" si="2" ref="J29:O29">SUM(J13:J28)</f>
        <v>26</v>
      </c>
      <c r="K29" s="36">
        <f t="shared" si="2"/>
        <v>12</v>
      </c>
      <c r="L29" s="37">
        <f t="shared" si="2"/>
        <v>2</v>
      </c>
      <c r="M29" s="37">
        <f t="shared" si="2"/>
        <v>6</v>
      </c>
      <c r="N29" s="81">
        <f t="shared" si="2"/>
        <v>2</v>
      </c>
      <c r="O29" s="1040">
        <f t="shared" si="2"/>
        <v>242</v>
      </c>
      <c r="P29" s="852" t="str">
        <f>COUNTIF(P13:P28,"E")&amp;"E"</f>
        <v>4E</v>
      </c>
      <c r="Q29" s="1096">
        <f>SUM(Q13:Q28)</f>
        <v>26</v>
      </c>
    </row>
    <row r="30" spans="1:17" s="240" customFormat="1" ht="12.75" customHeight="1">
      <c r="A30" s="1038"/>
      <c r="B30" s="1038"/>
      <c r="C30" s="1039"/>
      <c r="D30" s="1042">
        <f>SUM(D29:G29)</f>
        <v>23</v>
      </c>
      <c r="E30" s="1043"/>
      <c r="F30" s="1043"/>
      <c r="G30" s="1044"/>
      <c r="H30" s="1041"/>
      <c r="I30" s="853" t="str">
        <f>COUNTIF(I13:I28,"C")&amp;"C"</f>
        <v>3C</v>
      </c>
      <c r="J30" s="1068"/>
      <c r="K30" s="1042">
        <f>SUM(K29:N29)</f>
        <v>22</v>
      </c>
      <c r="L30" s="1043"/>
      <c r="M30" s="1043"/>
      <c r="N30" s="1044"/>
      <c r="O30" s="1041"/>
      <c r="P30" s="853" t="str">
        <f>COUNTIF(P12:P27,"C")&amp;"C"</f>
        <v>3C</v>
      </c>
      <c r="Q30" s="1068"/>
    </row>
    <row r="31" spans="1:17" s="240" customFormat="1" ht="13.5" customHeight="1" thickBot="1">
      <c r="A31" s="1079"/>
      <c r="B31" s="1079"/>
      <c r="C31" s="1080"/>
      <c r="D31" s="1108"/>
      <c r="E31" s="1109"/>
      <c r="F31" s="1109"/>
      <c r="G31" s="1110"/>
      <c r="H31" s="1076"/>
      <c r="I31" s="853" t="str">
        <f>COUNTIF(I13:I28,"P")&amp;"P"</f>
        <v>1P</v>
      </c>
      <c r="J31" s="1069"/>
      <c r="K31" s="1108"/>
      <c r="L31" s="1109"/>
      <c r="M31" s="1109"/>
      <c r="N31" s="1110"/>
      <c r="O31" s="1076"/>
      <c r="P31" s="853" t="str">
        <f>COUNTIF(P13:P28,"P")&amp;"P"</f>
        <v>1P</v>
      </c>
      <c r="Q31" s="1069"/>
    </row>
    <row r="32" spans="1:17" s="240" customFormat="1" ht="10.5" thickBot="1">
      <c r="A32" s="16"/>
      <c r="B32" s="16"/>
      <c r="C32" s="16"/>
      <c r="D32" s="57"/>
      <c r="E32" s="57"/>
      <c r="F32" s="57"/>
      <c r="G32" s="57"/>
      <c r="H32" s="16"/>
      <c r="I32" s="854"/>
      <c r="J32" s="232"/>
      <c r="K32" s="57"/>
      <c r="L32" s="57"/>
      <c r="M32" s="57"/>
      <c r="N32" s="57"/>
      <c r="O32" s="223"/>
      <c r="P32" s="854"/>
      <c r="Q32" s="232"/>
    </row>
    <row r="33" spans="1:17" s="239" customFormat="1" ht="9.75">
      <c r="A33" s="1045" t="s">
        <v>15</v>
      </c>
      <c r="B33" s="1045" t="s">
        <v>13</v>
      </c>
      <c r="C33" s="1045" t="s">
        <v>387</v>
      </c>
      <c r="D33" s="1130" t="s">
        <v>30</v>
      </c>
      <c r="E33" s="1131"/>
      <c r="F33" s="1131"/>
      <c r="G33" s="1131"/>
      <c r="H33" s="1131"/>
      <c r="I33" s="1131"/>
      <c r="J33" s="1132"/>
      <c r="K33" s="1130" t="s">
        <v>31</v>
      </c>
      <c r="L33" s="1131"/>
      <c r="M33" s="1131"/>
      <c r="N33" s="1131"/>
      <c r="O33" s="1131"/>
      <c r="P33" s="1131"/>
      <c r="Q33" s="1132"/>
    </row>
    <row r="34" spans="1:17" s="239" customFormat="1" ht="9.75">
      <c r="A34" s="1046"/>
      <c r="B34" s="1046"/>
      <c r="C34" s="1046"/>
      <c r="D34" s="1051" t="s">
        <v>9</v>
      </c>
      <c r="E34" s="1028" t="s">
        <v>10</v>
      </c>
      <c r="F34" s="1028" t="s">
        <v>11</v>
      </c>
      <c r="G34" s="1026" t="s">
        <v>12</v>
      </c>
      <c r="H34" s="1028" t="s">
        <v>40</v>
      </c>
      <c r="I34" s="1028" t="s">
        <v>16</v>
      </c>
      <c r="J34" s="1134" t="s">
        <v>17</v>
      </c>
      <c r="K34" s="1051" t="s">
        <v>9</v>
      </c>
      <c r="L34" s="1028" t="s">
        <v>10</v>
      </c>
      <c r="M34" s="1028" t="s">
        <v>11</v>
      </c>
      <c r="N34" s="1026" t="s">
        <v>12</v>
      </c>
      <c r="O34" s="1028" t="s">
        <v>40</v>
      </c>
      <c r="P34" s="1028" t="s">
        <v>16</v>
      </c>
      <c r="Q34" s="1134" t="s">
        <v>17</v>
      </c>
    </row>
    <row r="35" spans="1:17" s="239" customFormat="1" ht="11.25" customHeight="1" thickBot="1">
      <c r="A35" s="1047"/>
      <c r="B35" s="1047"/>
      <c r="C35" s="1047"/>
      <c r="D35" s="1052"/>
      <c r="E35" s="1029"/>
      <c r="F35" s="1029"/>
      <c r="G35" s="1133"/>
      <c r="H35" s="1029"/>
      <c r="I35" s="1029"/>
      <c r="J35" s="1135"/>
      <c r="K35" s="1052"/>
      <c r="L35" s="1029"/>
      <c r="M35" s="1029"/>
      <c r="N35" s="1133"/>
      <c r="O35" s="1029"/>
      <c r="P35" s="1029"/>
      <c r="Q35" s="1135"/>
    </row>
    <row r="36" spans="1:21" s="240" customFormat="1" ht="12" customHeight="1">
      <c r="A36" s="195">
        <v>17</v>
      </c>
      <c r="B36" s="272" t="s">
        <v>614</v>
      </c>
      <c r="C36" s="289" t="s">
        <v>272</v>
      </c>
      <c r="D36" s="1122">
        <v>2</v>
      </c>
      <c r="E36" s="1123"/>
      <c r="F36" s="1123">
        <v>1</v>
      </c>
      <c r="G36" s="1123"/>
      <c r="H36" s="1123">
        <f>56</f>
        <v>56</v>
      </c>
      <c r="I36" s="1120" t="s">
        <v>81</v>
      </c>
      <c r="J36" s="1121">
        <v>4</v>
      </c>
      <c r="K36" s="1118"/>
      <c r="L36" s="1114"/>
      <c r="M36" s="1114"/>
      <c r="N36" s="1114"/>
      <c r="O36" s="1114"/>
      <c r="P36" s="1114"/>
      <c r="Q36" s="1136"/>
      <c r="U36" s="242"/>
    </row>
    <row r="37" spans="1:22" s="240" customFormat="1" ht="12.75" customHeight="1">
      <c r="A37" s="196">
        <v>18</v>
      </c>
      <c r="B37" s="287" t="s">
        <v>179</v>
      </c>
      <c r="C37" s="290" t="s">
        <v>273</v>
      </c>
      <c r="D37" s="1122"/>
      <c r="E37" s="1123"/>
      <c r="F37" s="1123"/>
      <c r="G37" s="1123"/>
      <c r="H37" s="1123"/>
      <c r="I37" s="1120"/>
      <c r="J37" s="1121"/>
      <c r="K37" s="1119"/>
      <c r="L37" s="1115"/>
      <c r="M37" s="1115"/>
      <c r="N37" s="1115"/>
      <c r="O37" s="1115"/>
      <c r="P37" s="1115"/>
      <c r="Q37" s="1137"/>
      <c r="U37" s="242"/>
      <c r="V37" s="242"/>
    </row>
    <row r="38" spans="1:21" s="240" customFormat="1" ht="12" customHeight="1">
      <c r="A38" s="197">
        <v>19</v>
      </c>
      <c r="B38" s="288" t="s">
        <v>624</v>
      </c>
      <c r="C38" s="290" t="s">
        <v>274</v>
      </c>
      <c r="D38" s="1055"/>
      <c r="E38" s="1053"/>
      <c r="F38" s="1053"/>
      <c r="G38" s="1053"/>
      <c r="H38" s="1053"/>
      <c r="I38" s="1053"/>
      <c r="J38" s="1116"/>
      <c r="K38" s="1140">
        <v>2</v>
      </c>
      <c r="L38" s="1123"/>
      <c r="M38" s="1145">
        <v>1</v>
      </c>
      <c r="N38" s="1123">
        <v>1</v>
      </c>
      <c r="O38" s="1145">
        <f>(Q38*25-SUM(K38:N38)*14)</f>
        <v>44</v>
      </c>
      <c r="P38" s="1145" t="s">
        <v>81</v>
      </c>
      <c r="Q38" s="1143">
        <v>4</v>
      </c>
      <c r="U38" s="242"/>
    </row>
    <row r="39" spans="1:20" s="240" customFormat="1" ht="15" customHeight="1" thickBot="1">
      <c r="A39" s="198">
        <v>20</v>
      </c>
      <c r="B39" s="1011" t="s">
        <v>623</v>
      </c>
      <c r="C39" s="291" t="s">
        <v>275</v>
      </c>
      <c r="D39" s="1056"/>
      <c r="E39" s="1054"/>
      <c r="F39" s="1054"/>
      <c r="G39" s="1054"/>
      <c r="H39" s="1054"/>
      <c r="I39" s="1054"/>
      <c r="J39" s="1117"/>
      <c r="K39" s="1141"/>
      <c r="L39" s="1142"/>
      <c r="M39" s="1146"/>
      <c r="N39" s="1142"/>
      <c r="O39" s="1146"/>
      <c r="P39" s="1146"/>
      <c r="Q39" s="1144"/>
      <c r="T39" s="242"/>
    </row>
    <row r="40" spans="1:17" s="240" customFormat="1" ht="12.75" customHeight="1">
      <c r="A40" s="1078" t="s">
        <v>303</v>
      </c>
      <c r="B40" s="1033"/>
      <c r="C40" s="1034"/>
      <c r="D40" s="31">
        <f>SUM(D36:D39)</f>
        <v>2</v>
      </c>
      <c r="E40" s="898"/>
      <c r="F40" s="32">
        <f>SUM(F36:F39)</f>
        <v>1</v>
      </c>
      <c r="G40" s="894"/>
      <c r="H40" s="1040">
        <f>SUM(H36:H39)</f>
        <v>56</v>
      </c>
      <c r="I40" s="852" t="str">
        <f>COUNTIF(I36:I39,"E")&amp;"E"</f>
        <v>1E</v>
      </c>
      <c r="J40" s="1096">
        <f aca="true" t="shared" si="3" ref="J40:O40">SUM(J36:J39)</f>
        <v>4</v>
      </c>
      <c r="K40" s="31">
        <f t="shared" si="3"/>
        <v>2</v>
      </c>
      <c r="L40" s="894"/>
      <c r="M40" s="33">
        <f t="shared" si="3"/>
        <v>1</v>
      </c>
      <c r="N40" s="33">
        <f t="shared" si="3"/>
        <v>1</v>
      </c>
      <c r="O40" s="1138">
        <f t="shared" si="3"/>
        <v>44</v>
      </c>
      <c r="P40" s="856" t="str">
        <f>COUNTIF(P36:P39,"E")&amp;"E"</f>
        <v>1E</v>
      </c>
      <c r="Q40" s="1096">
        <f>SUM(Q36:Q39)</f>
        <v>4</v>
      </c>
    </row>
    <row r="41" spans="1:17" s="240" customFormat="1" ht="12.75" customHeight="1" thickBot="1">
      <c r="A41" s="1037"/>
      <c r="B41" s="1079"/>
      <c r="C41" s="1080"/>
      <c r="D41" s="1073">
        <f>SUM(D40:G40)</f>
        <v>3</v>
      </c>
      <c r="E41" s="1074"/>
      <c r="F41" s="1074"/>
      <c r="G41" s="1075"/>
      <c r="H41" s="1076"/>
      <c r="I41" s="855"/>
      <c r="J41" s="1069"/>
      <c r="K41" s="1073">
        <f>SUM(K40:N40)</f>
        <v>4</v>
      </c>
      <c r="L41" s="1074"/>
      <c r="M41" s="1074"/>
      <c r="N41" s="1075"/>
      <c r="O41" s="1139"/>
      <c r="P41" s="852"/>
      <c r="Q41" s="1069"/>
    </row>
    <row r="42" spans="3:16" s="240" customFormat="1" ht="12.75" customHeight="1" thickBot="1">
      <c r="C42" s="29"/>
      <c r="I42" s="243"/>
      <c r="P42" s="243"/>
    </row>
    <row r="43" spans="1:17" s="240" customFormat="1" ht="12.75" customHeight="1">
      <c r="A43" s="16"/>
      <c r="B43" s="43" t="s">
        <v>26</v>
      </c>
      <c r="C43" s="2"/>
      <c r="D43" s="896">
        <f>D29+D40</f>
        <v>14</v>
      </c>
      <c r="E43" s="897">
        <f>E29+E40</f>
        <v>2</v>
      </c>
      <c r="F43" s="897">
        <f>F29+F40</f>
        <v>7</v>
      </c>
      <c r="G43" s="897">
        <f>G29+G40</f>
        <v>3</v>
      </c>
      <c r="H43" s="1157">
        <f>H29+H40</f>
        <v>384</v>
      </c>
      <c r="I43" s="235" t="s">
        <v>198</v>
      </c>
      <c r="J43" s="1154">
        <f>IF((J29+J40)&lt;&gt;30,"NU",30)</f>
        <v>30</v>
      </c>
      <c r="K43" s="899">
        <f>K29+K40</f>
        <v>14</v>
      </c>
      <c r="L43" s="897">
        <f>L29+L40</f>
        <v>2</v>
      </c>
      <c r="M43" s="897">
        <f>M29+M40</f>
        <v>7</v>
      </c>
      <c r="N43" s="897">
        <f>N29+N40</f>
        <v>3</v>
      </c>
      <c r="O43" s="1157">
        <f>O29+O40</f>
        <v>286</v>
      </c>
      <c r="P43" s="235" t="s">
        <v>196</v>
      </c>
      <c r="Q43" s="1154">
        <f>IF((Q29+Q40)&lt;&gt;30,"NU",30)</f>
        <v>30</v>
      </c>
    </row>
    <row r="44" spans="1:17" s="240" customFormat="1" ht="12.75" customHeight="1" thickBot="1">
      <c r="A44" s="16"/>
      <c r="B44" s="43"/>
      <c r="C44" s="2"/>
      <c r="D44" s="1147">
        <f>SUM(D43:G43)</f>
        <v>26</v>
      </c>
      <c r="E44" s="1148"/>
      <c r="F44" s="1148"/>
      <c r="G44" s="1149"/>
      <c r="H44" s="1041"/>
      <c r="I44" s="40" t="s">
        <v>197</v>
      </c>
      <c r="J44" s="1155"/>
      <c r="K44" s="1147">
        <f>SUM(K43:N43)</f>
        <v>26</v>
      </c>
      <c r="L44" s="1148"/>
      <c r="M44" s="1148"/>
      <c r="N44" s="1149"/>
      <c r="O44" s="1041"/>
      <c r="P44" s="40" t="s">
        <v>197</v>
      </c>
      <c r="Q44" s="1155"/>
    </row>
    <row r="45" spans="1:17" s="240" customFormat="1" ht="12.75" customHeight="1" thickBot="1">
      <c r="A45" s="16"/>
      <c r="B45" s="43"/>
      <c r="C45" s="2"/>
      <c r="D45" s="1150"/>
      <c r="E45" s="1151"/>
      <c r="F45" s="1151"/>
      <c r="G45" s="1152"/>
      <c r="H45" s="1158"/>
      <c r="I45" s="40" t="s">
        <v>571</v>
      </c>
      <c r="J45" s="1156"/>
      <c r="K45" s="1150"/>
      <c r="L45" s="1151"/>
      <c r="M45" s="1151"/>
      <c r="N45" s="1152"/>
      <c r="O45" s="1158"/>
      <c r="P45" s="40" t="s">
        <v>571</v>
      </c>
      <c r="Q45" s="1156"/>
    </row>
    <row r="46" spans="1:17" s="239" customFormat="1" ht="10.5" thickBot="1">
      <c r="A46" s="55"/>
      <c r="B46" s="16"/>
      <c r="C46" s="16"/>
      <c r="D46" s="42"/>
      <c r="E46" s="42"/>
      <c r="F46" s="42"/>
      <c r="G46" s="42"/>
      <c r="H46" s="42"/>
      <c r="I46" s="233"/>
      <c r="J46" s="42"/>
      <c r="K46" s="42"/>
      <c r="L46" s="42"/>
      <c r="M46" s="42"/>
      <c r="N46" s="42"/>
      <c r="O46" s="42"/>
      <c r="P46" s="233"/>
      <c r="Q46" s="42"/>
    </row>
    <row r="47" spans="1:22" s="240" customFormat="1" ht="12.75" customHeight="1">
      <c r="A47" s="1045" t="s">
        <v>15</v>
      </c>
      <c r="B47" s="1045" t="s">
        <v>14</v>
      </c>
      <c r="C47" s="1045" t="s">
        <v>387</v>
      </c>
      <c r="D47" s="1130" t="s">
        <v>30</v>
      </c>
      <c r="E47" s="1131"/>
      <c r="F47" s="1131"/>
      <c r="G47" s="1131"/>
      <c r="H47" s="1131"/>
      <c r="I47" s="1131"/>
      <c r="J47" s="1132"/>
      <c r="K47" s="1130" t="s">
        <v>31</v>
      </c>
      <c r="L47" s="1131"/>
      <c r="M47" s="1131"/>
      <c r="N47" s="1131"/>
      <c r="O47" s="1131"/>
      <c r="P47" s="1131"/>
      <c r="Q47" s="1132"/>
      <c r="V47" s="1" t="s">
        <v>303</v>
      </c>
    </row>
    <row r="48" spans="1:17" s="1" customFormat="1" ht="9.75">
      <c r="A48" s="1046"/>
      <c r="B48" s="1046"/>
      <c r="C48" s="1046"/>
      <c r="D48" s="1051" t="s">
        <v>9</v>
      </c>
      <c r="E48" s="1026" t="s">
        <v>10</v>
      </c>
      <c r="F48" s="1028" t="s">
        <v>11</v>
      </c>
      <c r="G48" s="1028" t="s">
        <v>12</v>
      </c>
      <c r="H48" s="1028" t="s">
        <v>40</v>
      </c>
      <c r="I48" s="1053" t="s">
        <v>16</v>
      </c>
      <c r="J48" s="1134" t="s">
        <v>17</v>
      </c>
      <c r="K48" s="1051" t="s">
        <v>9</v>
      </c>
      <c r="L48" s="1028" t="s">
        <v>10</v>
      </c>
      <c r="M48" s="1026" t="s">
        <v>11</v>
      </c>
      <c r="N48" s="1028" t="s">
        <v>12</v>
      </c>
      <c r="O48" s="1028" t="s">
        <v>40</v>
      </c>
      <c r="P48" s="1053" t="s">
        <v>16</v>
      </c>
      <c r="Q48" s="1134" t="s">
        <v>17</v>
      </c>
    </row>
    <row r="49" spans="1:17" s="240" customFormat="1" ht="10.5" thickBot="1">
      <c r="A49" s="1047"/>
      <c r="B49" s="1047"/>
      <c r="C49" s="1047"/>
      <c r="D49" s="1052"/>
      <c r="E49" s="1153"/>
      <c r="F49" s="1029"/>
      <c r="G49" s="1029"/>
      <c r="H49" s="1029"/>
      <c r="I49" s="1054"/>
      <c r="J49" s="1135"/>
      <c r="K49" s="1052"/>
      <c r="L49" s="1029"/>
      <c r="M49" s="1153"/>
      <c r="N49" s="1029"/>
      <c r="O49" s="1029"/>
      <c r="P49" s="1054"/>
      <c r="Q49" s="1135"/>
    </row>
    <row r="50" spans="1:20" s="1" customFormat="1" ht="9.75">
      <c r="A50" s="199">
        <v>21</v>
      </c>
      <c r="B50" s="39" t="s">
        <v>163</v>
      </c>
      <c r="C50" s="38" t="s">
        <v>164</v>
      </c>
      <c r="D50" s="10">
        <v>1</v>
      </c>
      <c r="E50" s="48">
        <v>1</v>
      </c>
      <c r="F50" s="9"/>
      <c r="G50" s="9"/>
      <c r="H50" s="9">
        <f>(J50*25-SUM(D50:G50)*14)</f>
        <v>22</v>
      </c>
      <c r="I50" s="9" t="s">
        <v>9</v>
      </c>
      <c r="J50" s="11">
        <v>2</v>
      </c>
      <c r="K50" s="49"/>
      <c r="L50" s="50"/>
      <c r="M50" s="50"/>
      <c r="N50" s="50"/>
      <c r="O50" s="50"/>
      <c r="P50" s="50"/>
      <c r="Q50" s="52"/>
      <c r="R50" s="2"/>
      <c r="S50" s="2"/>
      <c r="T50" s="2"/>
    </row>
    <row r="51" spans="1:20" s="1" customFormat="1" ht="9.75">
      <c r="A51" s="238">
        <v>22</v>
      </c>
      <c r="B51" s="219" t="s">
        <v>165</v>
      </c>
      <c r="C51" s="38" t="s">
        <v>166</v>
      </c>
      <c r="D51" s="10"/>
      <c r="E51" s="48">
        <v>3</v>
      </c>
      <c r="F51" s="9"/>
      <c r="G51" s="9"/>
      <c r="H51" s="9">
        <f aca="true" t="shared" si="4" ref="H51:H56">(J51*25-SUM(D51:G51)*14)</f>
        <v>8</v>
      </c>
      <c r="I51" s="9" t="s">
        <v>9</v>
      </c>
      <c r="J51" s="11">
        <v>2</v>
      </c>
      <c r="K51" s="49"/>
      <c r="L51" s="50"/>
      <c r="M51" s="50"/>
      <c r="N51" s="50"/>
      <c r="O51" s="50"/>
      <c r="P51" s="50"/>
      <c r="Q51" s="52"/>
      <c r="R51" s="2"/>
      <c r="S51" s="2"/>
      <c r="T51" s="2"/>
    </row>
    <row r="52" spans="1:20" s="1" customFormat="1" ht="9.75">
      <c r="A52" s="238">
        <v>23</v>
      </c>
      <c r="B52" s="219" t="s">
        <v>172</v>
      </c>
      <c r="C52" s="38" t="s">
        <v>167</v>
      </c>
      <c r="D52" s="10"/>
      <c r="E52" s="48"/>
      <c r="F52" s="9"/>
      <c r="G52" s="9"/>
      <c r="H52" s="9"/>
      <c r="I52" s="9"/>
      <c r="J52" s="11"/>
      <c r="K52" s="49">
        <v>1</v>
      </c>
      <c r="L52" s="50">
        <v>1</v>
      </c>
      <c r="M52" s="50"/>
      <c r="N52" s="50"/>
      <c r="O52" s="50">
        <f>(Q52*25-SUM(K52:N52)*14)</f>
        <v>47</v>
      </c>
      <c r="P52" s="50" t="s">
        <v>81</v>
      </c>
      <c r="Q52" s="52">
        <v>3</v>
      </c>
      <c r="R52" s="2"/>
      <c r="S52" s="2"/>
      <c r="T52" s="2"/>
    </row>
    <row r="53" spans="1:20" s="1" customFormat="1" ht="9.75">
      <c r="A53" s="238">
        <v>24</v>
      </c>
      <c r="B53" s="219" t="s">
        <v>169</v>
      </c>
      <c r="C53" s="38" t="s">
        <v>168</v>
      </c>
      <c r="D53" s="36"/>
      <c r="E53" s="62"/>
      <c r="F53" s="37"/>
      <c r="G53" s="37"/>
      <c r="H53" s="9"/>
      <c r="I53" s="9"/>
      <c r="J53" s="11"/>
      <c r="K53" s="36"/>
      <c r="L53" s="37">
        <v>3</v>
      </c>
      <c r="M53" s="37"/>
      <c r="N53" s="37"/>
      <c r="O53" s="50">
        <f aca="true" t="shared" si="5" ref="O53:O59">(Q53*25-SUM(K53:N53)*14)</f>
        <v>8</v>
      </c>
      <c r="P53" s="9" t="s">
        <v>9</v>
      </c>
      <c r="Q53" s="53">
        <v>2</v>
      </c>
      <c r="R53" s="2"/>
      <c r="S53" s="2"/>
      <c r="T53" s="2"/>
    </row>
    <row r="54" spans="1:20" s="1" customFormat="1" ht="9.75">
      <c r="A54" s="843">
        <v>25</v>
      </c>
      <c r="B54" s="219" t="s">
        <v>171</v>
      </c>
      <c r="C54" s="38" t="s">
        <v>170</v>
      </c>
      <c r="D54" s="36"/>
      <c r="E54" s="62"/>
      <c r="F54" s="37"/>
      <c r="G54" s="37"/>
      <c r="H54" s="9"/>
      <c r="I54" s="9"/>
      <c r="J54" s="11"/>
      <c r="K54" s="36"/>
      <c r="L54" s="37"/>
      <c r="M54" s="37"/>
      <c r="N54" s="37"/>
      <c r="O54" s="50"/>
      <c r="P54" s="9" t="s">
        <v>81</v>
      </c>
      <c r="Q54" s="53">
        <v>5</v>
      </c>
      <c r="R54" s="2"/>
      <c r="S54" s="2"/>
      <c r="T54" s="2"/>
    </row>
    <row r="55" spans="1:20" s="1" customFormat="1" ht="9.75">
      <c r="A55" s="876">
        <v>26</v>
      </c>
      <c r="B55" s="877" t="s">
        <v>550</v>
      </c>
      <c r="C55" s="878" t="s">
        <v>546</v>
      </c>
      <c r="D55" s="879">
        <v>2</v>
      </c>
      <c r="E55" s="880">
        <v>1</v>
      </c>
      <c r="F55" s="881">
        <v>1</v>
      </c>
      <c r="G55" s="881"/>
      <c r="H55" s="96">
        <f t="shared" si="4"/>
        <v>44</v>
      </c>
      <c r="I55" s="96" t="s">
        <v>81</v>
      </c>
      <c r="J55" s="882">
        <v>4</v>
      </c>
      <c r="K55" s="879"/>
      <c r="L55" s="881"/>
      <c r="M55" s="881"/>
      <c r="N55" s="881"/>
      <c r="O55" s="859"/>
      <c r="P55" s="96"/>
      <c r="Q55" s="883"/>
      <c r="R55" s="2"/>
      <c r="S55" s="2"/>
      <c r="T55" s="2"/>
    </row>
    <row r="56" spans="1:20" s="1" customFormat="1" ht="18.75">
      <c r="A56" s="876">
        <v>27</v>
      </c>
      <c r="B56" s="884" t="s">
        <v>552</v>
      </c>
      <c r="C56" s="878" t="s">
        <v>543</v>
      </c>
      <c r="D56" s="879">
        <v>2</v>
      </c>
      <c r="E56" s="880"/>
      <c r="F56" s="881">
        <v>2</v>
      </c>
      <c r="G56" s="881"/>
      <c r="H56" s="96">
        <f t="shared" si="4"/>
        <v>44</v>
      </c>
      <c r="I56" s="881" t="s">
        <v>81</v>
      </c>
      <c r="J56" s="885">
        <v>4</v>
      </c>
      <c r="K56" s="879"/>
      <c r="L56" s="881"/>
      <c r="M56" s="881"/>
      <c r="N56" s="881"/>
      <c r="O56" s="859"/>
      <c r="P56" s="96"/>
      <c r="Q56" s="883"/>
      <c r="R56" s="2"/>
      <c r="S56" s="2"/>
      <c r="T56" s="2"/>
    </row>
    <row r="57" spans="1:20" s="1" customFormat="1" ht="9.75">
      <c r="A57" s="876">
        <v>28</v>
      </c>
      <c r="B57" s="877" t="s">
        <v>551</v>
      </c>
      <c r="C57" s="878" t="s">
        <v>547</v>
      </c>
      <c r="D57" s="879"/>
      <c r="E57" s="880"/>
      <c r="F57" s="881"/>
      <c r="G57" s="881"/>
      <c r="H57" s="96"/>
      <c r="I57" s="96"/>
      <c r="J57" s="882"/>
      <c r="K57" s="879">
        <v>2</v>
      </c>
      <c r="L57" s="881">
        <v>1</v>
      </c>
      <c r="M57" s="881">
        <v>1</v>
      </c>
      <c r="N57" s="881"/>
      <c r="O57" s="859">
        <f t="shared" si="5"/>
        <v>44</v>
      </c>
      <c r="P57" s="96" t="s">
        <v>81</v>
      </c>
      <c r="Q57" s="883">
        <v>4</v>
      </c>
      <c r="R57" s="2"/>
      <c r="S57" s="2"/>
      <c r="T57" s="2"/>
    </row>
    <row r="58" spans="1:20" s="1" customFormat="1" ht="9.75">
      <c r="A58" s="876">
        <v>29</v>
      </c>
      <c r="B58" s="877" t="s">
        <v>553</v>
      </c>
      <c r="C58" s="878" t="s">
        <v>548</v>
      </c>
      <c r="D58" s="879"/>
      <c r="E58" s="880"/>
      <c r="F58" s="881"/>
      <c r="G58" s="881"/>
      <c r="H58" s="96"/>
      <c r="I58" s="96"/>
      <c r="J58" s="882"/>
      <c r="K58" s="879"/>
      <c r="L58" s="881"/>
      <c r="M58" s="881"/>
      <c r="N58" s="881">
        <v>1</v>
      </c>
      <c r="O58" s="859">
        <f t="shared" si="5"/>
        <v>36</v>
      </c>
      <c r="P58" s="96" t="s">
        <v>12</v>
      </c>
      <c r="Q58" s="883">
        <v>2</v>
      </c>
      <c r="R58" s="2"/>
      <c r="S58" s="2"/>
      <c r="T58" s="2"/>
    </row>
    <row r="59" spans="1:20" s="1" customFormat="1" ht="10.5" thickBot="1">
      <c r="A59" s="876">
        <v>30</v>
      </c>
      <c r="B59" s="877" t="s">
        <v>554</v>
      </c>
      <c r="C59" s="878" t="s">
        <v>540</v>
      </c>
      <c r="D59" s="879"/>
      <c r="E59" s="880"/>
      <c r="F59" s="881"/>
      <c r="G59" s="881"/>
      <c r="H59" s="96"/>
      <c r="I59" s="886"/>
      <c r="J59" s="882"/>
      <c r="K59" s="879">
        <v>2</v>
      </c>
      <c r="L59" s="881"/>
      <c r="M59" s="881">
        <v>2</v>
      </c>
      <c r="N59" s="881"/>
      <c r="O59" s="859">
        <f t="shared" si="5"/>
        <v>44</v>
      </c>
      <c r="P59" s="886" t="s">
        <v>81</v>
      </c>
      <c r="Q59" s="883">
        <v>4</v>
      </c>
      <c r="R59" s="2"/>
      <c r="S59" s="2"/>
      <c r="T59" s="2"/>
    </row>
    <row r="60" spans="1:20" s="1" customFormat="1" ht="12.75" customHeight="1">
      <c r="A60" s="1038" t="s">
        <v>25</v>
      </c>
      <c r="B60" s="1038"/>
      <c r="C60" s="1039"/>
      <c r="D60" s="846">
        <f>SUM(D50:D59)</f>
        <v>5</v>
      </c>
      <c r="E60" s="845">
        <f>SUM(E50:E59)</f>
        <v>5</v>
      </c>
      <c r="F60" s="845">
        <f>SUM(F50:F59)</f>
        <v>3</v>
      </c>
      <c r="G60" s="900"/>
      <c r="H60" s="1040">
        <f>SUM(H50:H59)</f>
        <v>118</v>
      </c>
      <c r="I60" s="857" t="str">
        <f>COUNTIF(I50:I59,"E")&amp;"E"</f>
        <v>2E</v>
      </c>
      <c r="J60" s="1035">
        <f aca="true" t="shared" si="6" ref="J60:O60">SUM(J50:J59)</f>
        <v>12</v>
      </c>
      <c r="K60" s="846">
        <f t="shared" si="6"/>
        <v>5</v>
      </c>
      <c r="L60" s="845">
        <f t="shared" si="6"/>
        <v>5</v>
      </c>
      <c r="M60" s="845">
        <f t="shared" si="6"/>
        <v>3</v>
      </c>
      <c r="N60" s="847">
        <f t="shared" si="6"/>
        <v>1</v>
      </c>
      <c r="O60" s="1040">
        <f t="shared" si="6"/>
        <v>179</v>
      </c>
      <c r="P60" s="857" t="str">
        <f>COUNTIF(P50:P59,"E")&amp;"E"</f>
        <v>4E</v>
      </c>
      <c r="Q60" s="1035">
        <f>SUM(Q50:Q59)</f>
        <v>20</v>
      </c>
      <c r="R60" s="2"/>
      <c r="S60" s="2"/>
      <c r="T60" s="2"/>
    </row>
    <row r="61" spans="1:20" s="1" customFormat="1" ht="12.75" customHeight="1">
      <c r="A61" s="1038"/>
      <c r="B61" s="1038"/>
      <c r="C61" s="1039"/>
      <c r="D61" s="1111">
        <f>SUM(D60:G60)</f>
        <v>13</v>
      </c>
      <c r="E61" s="1112"/>
      <c r="F61" s="1112"/>
      <c r="G61" s="1113"/>
      <c r="H61" s="1041"/>
      <c r="I61" s="858" t="str">
        <f>COUNTIF(I49:I58,"C")&amp;"C"</f>
        <v>2C</v>
      </c>
      <c r="J61" s="1036"/>
      <c r="K61" s="1111">
        <f>SUM(K60:N60)</f>
        <v>14</v>
      </c>
      <c r="L61" s="1112"/>
      <c r="M61" s="1112"/>
      <c r="N61" s="1113"/>
      <c r="O61" s="1041"/>
      <c r="P61" s="858" t="str">
        <f>COUNTIF(P49:P58,"C")&amp;"C"</f>
        <v>1C</v>
      </c>
      <c r="Q61" s="1036"/>
      <c r="R61" s="2"/>
      <c r="S61" s="2"/>
      <c r="T61" s="2"/>
    </row>
    <row r="62" spans="1:20" s="1" customFormat="1" ht="13.5" customHeight="1" thickBot="1">
      <c r="A62" s="1079"/>
      <c r="B62" s="1079"/>
      <c r="C62" s="1080"/>
      <c r="D62" s="1108"/>
      <c r="E62" s="1109"/>
      <c r="F62" s="1109"/>
      <c r="G62" s="1110"/>
      <c r="H62" s="1041"/>
      <c r="I62" s="858"/>
      <c r="J62" s="1036"/>
      <c r="K62" s="1108"/>
      <c r="L62" s="1109"/>
      <c r="M62" s="1109"/>
      <c r="N62" s="1110"/>
      <c r="O62" s="1041"/>
      <c r="P62" s="858" t="str">
        <f>COUNTIF(P50:P59,"P")&amp;"P"</f>
        <v>1P</v>
      </c>
      <c r="Q62" s="1036"/>
      <c r="R62" s="2"/>
      <c r="S62" s="2"/>
      <c r="T62" s="2"/>
    </row>
    <row r="63" spans="1:17" s="240" customFormat="1" ht="9.75">
      <c r="A63" s="16"/>
      <c r="B63" s="1031" t="s">
        <v>45</v>
      </c>
      <c r="C63" s="1031"/>
      <c r="D63" s="1031"/>
      <c r="E63" s="1031"/>
      <c r="F63" s="1031"/>
      <c r="G63" s="1031"/>
      <c r="H63" s="1031"/>
      <c r="I63" s="1031"/>
      <c r="J63" s="1031"/>
      <c r="K63" s="1031"/>
      <c r="L63" s="1031"/>
      <c r="M63" s="1031"/>
      <c r="N63" s="1031"/>
      <c r="O63" s="1031"/>
      <c r="P63" s="1031"/>
      <c r="Q63" s="1031"/>
    </row>
    <row r="64" spans="1:17" s="240" customFormat="1" ht="13.5" customHeight="1">
      <c r="A64" s="25" t="s">
        <v>140</v>
      </c>
      <c r="B64" s="25" t="s">
        <v>139</v>
      </c>
      <c r="C64" s="25"/>
      <c r="D64" s="25"/>
      <c r="E64" s="25"/>
      <c r="F64" s="25"/>
      <c r="G64" s="25"/>
      <c r="H64" s="25"/>
      <c r="I64" s="25" t="s">
        <v>138</v>
      </c>
      <c r="J64" s="25"/>
      <c r="K64" s="25"/>
      <c r="L64" s="25"/>
      <c r="M64" s="25"/>
      <c r="N64" s="25"/>
      <c r="O64" s="25"/>
      <c r="P64" s="25"/>
      <c r="Q64" s="25"/>
    </row>
    <row r="65" spans="1:17" s="240" customFormat="1" ht="9.75">
      <c r="A65" s="25"/>
      <c r="B65" s="244" t="s">
        <v>143</v>
      </c>
      <c r="C65" s="69"/>
      <c r="D65" s="69"/>
      <c r="E65" s="69"/>
      <c r="F65" s="69"/>
      <c r="G65" s="69"/>
      <c r="H65" s="25"/>
      <c r="I65" s="244" t="s">
        <v>144</v>
      </c>
      <c r="J65" s="25"/>
      <c r="K65" s="25"/>
      <c r="L65" s="25"/>
      <c r="M65" s="25"/>
      <c r="N65" s="25"/>
      <c r="O65" s="25"/>
      <c r="P65" s="25"/>
      <c r="Q65" s="25"/>
    </row>
    <row r="66" spans="1:17" s="240" customFormat="1" ht="9.75">
      <c r="A66" s="25"/>
      <c r="B66" s="244"/>
      <c r="C66" s="69"/>
      <c r="D66" s="69"/>
      <c r="E66" s="69"/>
      <c r="F66" s="69"/>
      <c r="G66" s="69"/>
      <c r="H66" s="25"/>
      <c r="I66" s="244"/>
      <c r="J66" s="25"/>
      <c r="K66" s="25"/>
      <c r="L66" s="25"/>
      <c r="M66" s="25"/>
      <c r="N66" s="25"/>
      <c r="O66" s="25"/>
      <c r="P66" s="25"/>
      <c r="Q66" s="25"/>
    </row>
    <row r="67" spans="1:29" s="240" customFormat="1" ht="9.75">
      <c r="A67" s="25"/>
      <c r="B67" s="25" t="s">
        <v>142</v>
      </c>
      <c r="C67" s="25"/>
      <c r="D67" s="25"/>
      <c r="E67" s="25"/>
      <c r="F67" s="25"/>
      <c r="G67" s="25"/>
      <c r="H67" s="25"/>
      <c r="I67" s="25" t="s">
        <v>141</v>
      </c>
      <c r="J67" s="25"/>
      <c r="K67" s="25"/>
      <c r="L67" s="25"/>
      <c r="M67" s="25"/>
      <c r="N67" s="25"/>
      <c r="O67" s="25"/>
      <c r="P67" s="25"/>
      <c r="Q67" s="25"/>
      <c r="AC67" s="5"/>
    </row>
    <row r="68" spans="1:29" s="240" customFormat="1" ht="9.75">
      <c r="A68" s="69"/>
      <c r="B68" s="69" t="s">
        <v>145</v>
      </c>
      <c r="C68" s="69"/>
      <c r="D68" s="69"/>
      <c r="E68" s="69"/>
      <c r="F68" s="69"/>
      <c r="G68" s="69"/>
      <c r="H68" s="69"/>
      <c r="I68" s="69" t="s">
        <v>145</v>
      </c>
      <c r="J68" s="69"/>
      <c r="K68" s="69"/>
      <c r="L68" s="69"/>
      <c r="M68" s="69"/>
      <c r="N68" s="69"/>
      <c r="O68" s="69"/>
      <c r="P68" s="69"/>
      <c r="Q68" s="69"/>
      <c r="AC68" s="5"/>
    </row>
    <row r="69" spans="1:29" s="240" customFormat="1" ht="12.75">
      <c r="A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AC69" s="5"/>
    </row>
    <row r="70" spans="1:40" s="1" customFormat="1" ht="12.75">
      <c r="A70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J70" s="3"/>
      <c r="AK70" s="3"/>
      <c r="AL70" s="3"/>
      <c r="AM70" s="3"/>
      <c r="AN70" s="3"/>
    </row>
    <row r="71" spans="1:17" s="240" customFormat="1" ht="12.75">
      <c r="A71"/>
      <c r="B71"/>
      <c r="C71" s="3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s="240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ht="12.75">
      <c r="C73"/>
    </row>
    <row r="74" ht="12.75">
      <c r="C74"/>
    </row>
    <row r="75" ht="12.75">
      <c r="C75"/>
    </row>
    <row r="76" ht="13.5" customHeight="1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</sheetData>
  <sheetProtection/>
  <mergeCells count="121">
    <mergeCell ref="A40:C41"/>
    <mergeCell ref="P48:P49"/>
    <mergeCell ref="O48:O49"/>
    <mergeCell ref="K41:N41"/>
    <mergeCell ref="J43:J45"/>
    <mergeCell ref="O43:O45"/>
    <mergeCell ref="A47:A49"/>
    <mergeCell ref="J48:J49"/>
    <mergeCell ref="F48:F49"/>
    <mergeCell ref="D44:G45"/>
    <mergeCell ref="B63:Q63"/>
    <mergeCell ref="D47:J47"/>
    <mergeCell ref="Q43:Q45"/>
    <mergeCell ref="H43:H45"/>
    <mergeCell ref="B47:B49"/>
    <mergeCell ref="C47:C49"/>
    <mergeCell ref="H48:H49"/>
    <mergeCell ref="I48:I49"/>
    <mergeCell ref="Q60:Q62"/>
    <mergeCell ref="H60:H62"/>
    <mergeCell ref="A1:C1"/>
    <mergeCell ref="A3:P3"/>
    <mergeCell ref="H29:H31"/>
    <mergeCell ref="O29:O31"/>
    <mergeCell ref="O11:O12"/>
    <mergeCell ref="J29:J31"/>
    <mergeCell ref="J11:J12"/>
    <mergeCell ref="A8:F8"/>
    <mergeCell ref="A9:Q9"/>
    <mergeCell ref="A10:A12"/>
    <mergeCell ref="D38:D39"/>
    <mergeCell ref="J40:J41"/>
    <mergeCell ref="D48:D49"/>
    <mergeCell ref="E48:E49"/>
    <mergeCell ref="M48:M49"/>
    <mergeCell ref="K48:K49"/>
    <mergeCell ref="G48:G49"/>
    <mergeCell ref="H40:H41"/>
    <mergeCell ref="E38:E39"/>
    <mergeCell ref="F38:F39"/>
    <mergeCell ref="P38:P39"/>
    <mergeCell ref="K47:Q47"/>
    <mergeCell ref="Q48:Q49"/>
    <mergeCell ref="N48:N49"/>
    <mergeCell ref="N38:N39"/>
    <mergeCell ref="O38:O39"/>
    <mergeCell ref="L48:L49"/>
    <mergeCell ref="K44:N45"/>
    <mergeCell ref="M38:M39"/>
    <mergeCell ref="P36:P37"/>
    <mergeCell ref="Q36:Q37"/>
    <mergeCell ref="O40:O41"/>
    <mergeCell ref="F36:F37"/>
    <mergeCell ref="G36:G37"/>
    <mergeCell ref="K38:K39"/>
    <mergeCell ref="L38:L39"/>
    <mergeCell ref="Q38:Q39"/>
    <mergeCell ref="D41:G41"/>
    <mergeCell ref="Q40:Q41"/>
    <mergeCell ref="K33:Q33"/>
    <mergeCell ref="J34:J35"/>
    <mergeCell ref="K34:K35"/>
    <mergeCell ref="L34:L35"/>
    <mergeCell ref="P34:P35"/>
    <mergeCell ref="O34:O35"/>
    <mergeCell ref="Q34:Q35"/>
    <mergeCell ref="M34:M35"/>
    <mergeCell ref="N34:N35"/>
    <mergeCell ref="B33:B35"/>
    <mergeCell ref="C33:C35"/>
    <mergeCell ref="D33:J33"/>
    <mergeCell ref="D34:D35"/>
    <mergeCell ref="E34:E35"/>
    <mergeCell ref="F34:F35"/>
    <mergeCell ref="G34:G35"/>
    <mergeCell ref="Q29:Q31"/>
    <mergeCell ref="K11:K12"/>
    <mergeCell ref="L11:L12"/>
    <mergeCell ref="M11:M12"/>
    <mergeCell ref="N11:N12"/>
    <mergeCell ref="P11:P12"/>
    <mergeCell ref="B10:B12"/>
    <mergeCell ref="C10:C12"/>
    <mergeCell ref="D10:J10"/>
    <mergeCell ref="K10:Q10"/>
    <mergeCell ref="Q11:Q12"/>
    <mergeCell ref="A4:F4"/>
    <mergeCell ref="A5:F5"/>
    <mergeCell ref="A6:F6"/>
    <mergeCell ref="A7:F7"/>
    <mergeCell ref="H11:H12"/>
    <mergeCell ref="G38:G39"/>
    <mergeCell ref="H38:H39"/>
    <mergeCell ref="I11:I12"/>
    <mergeCell ref="I34:I35"/>
    <mergeCell ref="G11:G12"/>
    <mergeCell ref="H36:H37"/>
    <mergeCell ref="D36:D37"/>
    <mergeCell ref="E36:E37"/>
    <mergeCell ref="H34:H35"/>
    <mergeCell ref="D11:D12"/>
    <mergeCell ref="E11:E12"/>
    <mergeCell ref="F11:F12"/>
    <mergeCell ref="O36:O37"/>
    <mergeCell ref="I38:I39"/>
    <mergeCell ref="J38:J39"/>
    <mergeCell ref="K36:K37"/>
    <mergeCell ref="L36:L37"/>
    <mergeCell ref="I36:I37"/>
    <mergeCell ref="J36:J37"/>
    <mergeCell ref="M36:M37"/>
    <mergeCell ref="J60:J62"/>
    <mergeCell ref="O60:O62"/>
    <mergeCell ref="A29:C31"/>
    <mergeCell ref="D30:G31"/>
    <mergeCell ref="K30:N31"/>
    <mergeCell ref="A60:C62"/>
    <mergeCell ref="D61:G62"/>
    <mergeCell ref="K61:N62"/>
    <mergeCell ref="A33:A35"/>
    <mergeCell ref="N36:N37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  <headerFooter alignWithMargins="0">
    <oddFooter>&amp;R4/7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D67"/>
  <sheetViews>
    <sheetView zoomScale="120" zoomScaleNormal="120" zoomScalePageLayoutView="0" workbookViewId="0" topLeftCell="A22">
      <selection activeCell="U40" sqref="U40"/>
    </sheetView>
  </sheetViews>
  <sheetFormatPr defaultColWidth="9.140625" defaultRowHeight="12.75"/>
  <cols>
    <col min="1" max="1" width="3.28125" style="108" customWidth="1"/>
    <col min="2" max="2" width="30.8515625" style="108" customWidth="1"/>
    <col min="3" max="3" width="9.57421875" style="3" customWidth="1"/>
    <col min="4" max="4" width="3.421875" style="108" customWidth="1"/>
    <col min="5" max="6" width="2.421875" style="108" customWidth="1"/>
    <col min="7" max="7" width="2.140625" style="108" customWidth="1"/>
    <col min="8" max="8" width="3.00390625" style="108" customWidth="1"/>
    <col min="9" max="9" width="6.421875" style="108" customWidth="1"/>
    <col min="10" max="10" width="5.00390625" style="108" customWidth="1"/>
    <col min="11" max="11" width="2.7109375" style="108" customWidth="1"/>
    <col min="12" max="12" width="2.421875" style="108" customWidth="1"/>
    <col min="13" max="14" width="2.7109375" style="108" customWidth="1"/>
    <col min="15" max="15" width="3.00390625" style="108" customWidth="1"/>
    <col min="16" max="16" width="6.28125" style="108" customWidth="1"/>
    <col min="17" max="17" width="5.28125" style="108" customWidth="1"/>
    <col min="18" max="19" width="9.140625" style="108" hidden="1" customWidth="1"/>
    <col min="20" max="23" width="9.140625" style="108" customWidth="1"/>
    <col min="24" max="24" width="10.7109375" style="108" customWidth="1"/>
    <col min="25" max="16384" width="9.140625" style="108" customWidth="1"/>
  </cols>
  <sheetData>
    <row r="1" spans="1:17" ht="12.75">
      <c r="A1" s="1077" t="s">
        <v>72</v>
      </c>
      <c r="B1" s="1077"/>
      <c r="C1" s="107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5" t="s">
        <v>562</v>
      </c>
      <c r="B2" s="25"/>
      <c r="C2" s="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15">
      <c r="A3" s="1094" t="s">
        <v>21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25"/>
      <c r="R3" s="7"/>
      <c r="S3" s="7"/>
    </row>
    <row r="4" spans="1:56" ht="12.75">
      <c r="A4" s="1081" t="s">
        <v>76</v>
      </c>
      <c r="B4" s="1081"/>
      <c r="C4" s="1081"/>
      <c r="D4" s="1081"/>
      <c r="E4" s="1081"/>
      <c r="F4" s="1081"/>
      <c r="G4" s="27"/>
      <c r="H4" s="27"/>
      <c r="I4" s="8"/>
      <c r="J4" s="8"/>
      <c r="K4" s="8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7"/>
      <c r="BD4" s="7"/>
    </row>
    <row r="5" spans="1:20" ht="12.75">
      <c r="A5" s="1081" t="s">
        <v>606</v>
      </c>
      <c r="B5" s="1081"/>
      <c r="C5" s="1081"/>
      <c r="D5" s="1081"/>
      <c r="E5" s="1081"/>
      <c r="F5" s="1081"/>
      <c r="G5" s="27"/>
      <c r="H5" s="27"/>
      <c r="I5" s="1"/>
      <c r="J5" s="1"/>
      <c r="K5" s="1"/>
      <c r="L5" s="8"/>
      <c r="M5" s="8"/>
      <c r="N5" s="8"/>
      <c r="O5" s="8"/>
      <c r="P5" s="8"/>
      <c r="Q5" s="8"/>
      <c r="R5" s="25"/>
      <c r="S5" s="25"/>
      <c r="T5" s="73"/>
    </row>
    <row r="6" spans="1:20" ht="12.75">
      <c r="A6" s="1077" t="s">
        <v>257</v>
      </c>
      <c r="B6" s="1077"/>
      <c r="C6" s="1077"/>
      <c r="D6" s="1077"/>
      <c r="E6" s="1077"/>
      <c r="F6" s="1077"/>
      <c r="G6" s="8"/>
      <c r="H6" s="8"/>
      <c r="I6" s="8"/>
      <c r="J6" s="109"/>
      <c r="K6" s="109"/>
      <c r="L6" s="109"/>
      <c r="M6" s="109"/>
      <c r="N6" s="109"/>
      <c r="O6" s="109"/>
      <c r="P6" s="109"/>
      <c r="Q6" s="109"/>
      <c r="R6" s="8"/>
      <c r="S6" s="73"/>
      <c r="T6" s="73"/>
    </row>
    <row r="7" spans="1:20" ht="12.75">
      <c r="A7" s="1077" t="s">
        <v>77</v>
      </c>
      <c r="B7" s="1077"/>
      <c r="C7" s="1077"/>
      <c r="D7" s="1077"/>
      <c r="E7" s="1077"/>
      <c r="F7" s="1077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8" spans="1:20" ht="12.75">
      <c r="A8" s="1081" t="s">
        <v>605</v>
      </c>
      <c r="B8" s="1081"/>
      <c r="C8" s="1081"/>
      <c r="D8" s="1081"/>
      <c r="E8" s="1081"/>
      <c r="F8" s="1081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1" ht="16.5" customHeight="1" thickBot="1">
      <c r="A9" s="1095" t="s">
        <v>75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U9" s="321"/>
    </row>
    <row r="10" spans="1:17" s="264" customFormat="1" ht="13.5" customHeight="1">
      <c r="A10" s="1180" t="s">
        <v>15</v>
      </c>
      <c r="B10" s="1180" t="s">
        <v>6</v>
      </c>
      <c r="C10" s="1180" t="s">
        <v>387</v>
      </c>
      <c r="D10" s="1184" t="s">
        <v>32</v>
      </c>
      <c r="E10" s="1185"/>
      <c r="F10" s="1185"/>
      <c r="G10" s="1185"/>
      <c r="H10" s="1185"/>
      <c r="I10" s="1185"/>
      <c r="J10" s="1186"/>
      <c r="K10" s="1184" t="s">
        <v>33</v>
      </c>
      <c r="L10" s="1185"/>
      <c r="M10" s="1185"/>
      <c r="N10" s="1185"/>
      <c r="O10" s="1185"/>
      <c r="P10" s="1185"/>
      <c r="Q10" s="1186"/>
    </row>
    <row r="11" spans="1:17" s="264" customFormat="1" ht="12.75" customHeight="1">
      <c r="A11" s="1181"/>
      <c r="B11" s="1181"/>
      <c r="C11" s="1181"/>
      <c r="D11" s="1187" t="s">
        <v>9</v>
      </c>
      <c r="E11" s="1063" t="s">
        <v>10</v>
      </c>
      <c r="F11" s="1063" t="s">
        <v>11</v>
      </c>
      <c r="G11" s="1063" t="s">
        <v>12</v>
      </c>
      <c r="H11" s="1063" t="s">
        <v>40</v>
      </c>
      <c r="I11" s="1063" t="s">
        <v>16</v>
      </c>
      <c r="J11" s="1129" t="s">
        <v>17</v>
      </c>
      <c r="K11" s="1187" t="s">
        <v>9</v>
      </c>
      <c r="L11" s="1063" t="s">
        <v>10</v>
      </c>
      <c r="M11" s="1063" t="s">
        <v>11</v>
      </c>
      <c r="N11" s="1063" t="s">
        <v>12</v>
      </c>
      <c r="O11" s="1063" t="s">
        <v>40</v>
      </c>
      <c r="P11" s="1063" t="s">
        <v>16</v>
      </c>
      <c r="Q11" s="1129" t="s">
        <v>17</v>
      </c>
    </row>
    <row r="12" spans="1:17" s="264" customFormat="1" ht="9.75" thickBot="1">
      <c r="A12" s="1182"/>
      <c r="B12" s="1182"/>
      <c r="C12" s="1183"/>
      <c r="D12" s="1188"/>
      <c r="E12" s="1189"/>
      <c r="F12" s="1064"/>
      <c r="G12" s="1064"/>
      <c r="H12" s="1064"/>
      <c r="I12" s="1064"/>
      <c r="J12" s="1190"/>
      <c r="K12" s="1188"/>
      <c r="L12" s="1064"/>
      <c r="M12" s="1189"/>
      <c r="N12" s="1064"/>
      <c r="O12" s="1064"/>
      <c r="P12" s="1064"/>
      <c r="Q12" s="1190"/>
    </row>
    <row r="13" spans="1:17" s="264" customFormat="1" ht="9">
      <c r="A13" s="322">
        <v>1</v>
      </c>
      <c r="B13" s="292" t="s">
        <v>617</v>
      </c>
      <c r="C13" s="297" t="s">
        <v>236</v>
      </c>
      <c r="D13" s="253">
        <v>2</v>
      </c>
      <c r="E13" s="245"/>
      <c r="F13" s="245"/>
      <c r="G13" s="245">
        <v>1</v>
      </c>
      <c r="H13" s="245">
        <f aca="true" t="shared" si="0" ref="H13:H18">(J13*25-SUM(D13:G13)*14)</f>
        <v>58</v>
      </c>
      <c r="I13" s="246" t="s">
        <v>81</v>
      </c>
      <c r="J13" s="247">
        <v>4</v>
      </c>
      <c r="K13" s="248"/>
      <c r="L13" s="249"/>
      <c r="M13" s="249"/>
      <c r="N13" s="249"/>
      <c r="O13" s="249"/>
      <c r="P13" s="250"/>
      <c r="Q13" s="251"/>
    </row>
    <row r="14" spans="1:17" s="264" customFormat="1" ht="9">
      <c r="A14" s="323">
        <v>2</v>
      </c>
      <c r="B14" s="1010" t="s">
        <v>612</v>
      </c>
      <c r="C14" s="298" t="s">
        <v>523</v>
      </c>
      <c r="D14" s="248">
        <v>2</v>
      </c>
      <c r="E14" s="249"/>
      <c r="F14" s="252">
        <v>1</v>
      </c>
      <c r="G14" s="249"/>
      <c r="H14" s="245">
        <f t="shared" si="0"/>
        <v>58</v>
      </c>
      <c r="I14" s="246" t="s">
        <v>81</v>
      </c>
      <c r="J14" s="247">
        <f>INT((3*D14+1.5*E14+1.5*F14+2*G14)*0.56)</f>
        <v>4</v>
      </c>
      <c r="K14" s="248"/>
      <c r="L14" s="249"/>
      <c r="M14" s="249"/>
      <c r="N14" s="249"/>
      <c r="O14" s="249"/>
      <c r="P14" s="250"/>
      <c r="Q14" s="251"/>
    </row>
    <row r="15" spans="1:17" s="264" customFormat="1" ht="9">
      <c r="A15" s="323">
        <v>3</v>
      </c>
      <c r="B15" s="293" t="s">
        <v>529</v>
      </c>
      <c r="C15" s="298" t="s">
        <v>237</v>
      </c>
      <c r="D15" s="248">
        <v>2</v>
      </c>
      <c r="E15" s="249"/>
      <c r="F15" s="252">
        <v>1</v>
      </c>
      <c r="G15" s="249"/>
      <c r="H15" s="245">
        <f t="shared" si="0"/>
        <v>58</v>
      </c>
      <c r="I15" s="246" t="s">
        <v>81</v>
      </c>
      <c r="J15" s="247">
        <v>4</v>
      </c>
      <c r="K15" s="248"/>
      <c r="L15" s="249"/>
      <c r="M15" s="249"/>
      <c r="N15" s="249"/>
      <c r="O15" s="249"/>
      <c r="P15" s="250"/>
      <c r="Q15" s="251"/>
    </row>
    <row r="16" spans="1:17" s="264" customFormat="1" ht="9">
      <c r="A16" s="323">
        <v>4</v>
      </c>
      <c r="B16" s="293" t="s">
        <v>530</v>
      </c>
      <c r="C16" s="298" t="s">
        <v>238</v>
      </c>
      <c r="D16" s="248"/>
      <c r="E16" s="249"/>
      <c r="F16" s="252"/>
      <c r="G16" s="249">
        <v>2</v>
      </c>
      <c r="H16" s="245">
        <f t="shared" si="0"/>
        <v>22</v>
      </c>
      <c r="I16" s="246" t="s">
        <v>12</v>
      </c>
      <c r="J16" s="247">
        <f>INT((3*D16+1.5*E16+1.5*F16+2*G16)*0.56)</f>
        <v>2</v>
      </c>
      <c r="K16" s="248"/>
      <c r="L16" s="249"/>
      <c r="M16" s="249"/>
      <c r="N16" s="249"/>
      <c r="O16" s="249"/>
      <c r="P16" s="250"/>
      <c r="Q16" s="251"/>
    </row>
    <row r="17" spans="1:17" s="264" customFormat="1" ht="9">
      <c r="A17" s="323">
        <v>5</v>
      </c>
      <c r="B17" s="293" t="s">
        <v>613</v>
      </c>
      <c r="C17" s="298" t="s">
        <v>239</v>
      </c>
      <c r="D17" s="248">
        <v>2</v>
      </c>
      <c r="E17" s="249"/>
      <c r="F17" s="252"/>
      <c r="G17" s="249">
        <v>1</v>
      </c>
      <c r="H17" s="245">
        <f t="shared" si="0"/>
        <v>58</v>
      </c>
      <c r="I17" s="246" t="s">
        <v>81</v>
      </c>
      <c r="J17" s="247">
        <v>4</v>
      </c>
      <c r="K17" s="248"/>
      <c r="L17" s="249"/>
      <c r="M17" s="249"/>
      <c r="N17" s="249"/>
      <c r="O17" s="249"/>
      <c r="P17" s="250"/>
      <c r="Q17" s="251"/>
    </row>
    <row r="18" spans="1:17" s="264" customFormat="1" ht="9">
      <c r="A18" s="323">
        <v>6</v>
      </c>
      <c r="B18" s="293" t="s">
        <v>110</v>
      </c>
      <c r="C18" s="298" t="s">
        <v>524</v>
      </c>
      <c r="D18" s="248">
        <v>2</v>
      </c>
      <c r="E18" s="249">
        <v>1</v>
      </c>
      <c r="F18" s="252"/>
      <c r="G18" s="249"/>
      <c r="H18" s="245">
        <f t="shared" si="0"/>
        <v>33</v>
      </c>
      <c r="I18" s="246" t="s">
        <v>9</v>
      </c>
      <c r="J18" s="247">
        <v>3</v>
      </c>
      <c r="K18" s="248"/>
      <c r="L18" s="249"/>
      <c r="M18" s="249"/>
      <c r="N18" s="249"/>
      <c r="O18" s="249"/>
      <c r="P18" s="250"/>
      <c r="Q18" s="251"/>
    </row>
    <row r="19" spans="1:17" s="264" customFormat="1" ht="9">
      <c r="A19" s="323">
        <v>7</v>
      </c>
      <c r="B19" s="294" t="s">
        <v>627</v>
      </c>
      <c r="C19" s="298" t="s">
        <v>525</v>
      </c>
      <c r="D19" s="248"/>
      <c r="E19" s="249"/>
      <c r="F19" s="252"/>
      <c r="G19" s="249"/>
      <c r="H19" s="249"/>
      <c r="I19" s="246"/>
      <c r="J19" s="247"/>
      <c r="K19" s="253">
        <v>2</v>
      </c>
      <c r="L19" s="245"/>
      <c r="M19" s="245">
        <v>1</v>
      </c>
      <c r="N19" s="245"/>
      <c r="O19" s="245">
        <f>(Q19*25-SUM(K19:N19)*14)</f>
        <v>33</v>
      </c>
      <c r="P19" s="245" t="s">
        <v>81</v>
      </c>
      <c r="Q19" s="254">
        <v>3</v>
      </c>
    </row>
    <row r="20" spans="1:17" s="264" customFormat="1" ht="9">
      <c r="A20" s="323">
        <v>8</v>
      </c>
      <c r="B20" s="1010" t="s">
        <v>620</v>
      </c>
      <c r="C20" s="298" t="s">
        <v>526</v>
      </c>
      <c r="D20" s="248"/>
      <c r="E20" s="249"/>
      <c r="F20" s="252"/>
      <c r="G20" s="249"/>
      <c r="H20" s="249"/>
      <c r="I20" s="246"/>
      <c r="J20" s="247"/>
      <c r="K20" s="253">
        <v>2</v>
      </c>
      <c r="L20" s="245"/>
      <c r="M20" s="245">
        <v>2</v>
      </c>
      <c r="N20" s="250"/>
      <c r="O20" s="245">
        <f>(Q20*25-SUM(K20:N20)*14)</f>
        <v>44</v>
      </c>
      <c r="P20" s="245" t="s">
        <v>81</v>
      </c>
      <c r="Q20" s="254">
        <v>4</v>
      </c>
    </row>
    <row r="21" spans="1:17" s="264" customFormat="1" ht="9">
      <c r="A21" s="323">
        <v>9</v>
      </c>
      <c r="B21" s="1010" t="s">
        <v>621</v>
      </c>
      <c r="C21" s="298" t="s">
        <v>240</v>
      </c>
      <c r="D21" s="248"/>
      <c r="E21" s="249"/>
      <c r="F21" s="252"/>
      <c r="G21" s="249"/>
      <c r="H21" s="249"/>
      <c r="I21" s="246"/>
      <c r="J21" s="247"/>
      <c r="K21" s="253"/>
      <c r="L21" s="245"/>
      <c r="M21" s="245"/>
      <c r="N21" s="245">
        <v>2</v>
      </c>
      <c r="O21" s="245">
        <f>(Q21*25-SUM(K21:N21)*14)</f>
        <v>47</v>
      </c>
      <c r="P21" s="245" t="s">
        <v>12</v>
      </c>
      <c r="Q21" s="254">
        <v>3</v>
      </c>
    </row>
    <row r="22" spans="1:17" s="264" customFormat="1" ht="11.25" customHeight="1">
      <c r="A22" s="323">
        <v>10</v>
      </c>
      <c r="B22" s="294" t="s">
        <v>626</v>
      </c>
      <c r="C22" s="298" t="s">
        <v>241</v>
      </c>
      <c r="D22" s="248"/>
      <c r="E22" s="249"/>
      <c r="F22" s="252"/>
      <c r="G22" s="249"/>
      <c r="H22" s="249"/>
      <c r="I22" s="246"/>
      <c r="J22" s="247"/>
      <c r="K22" s="253">
        <v>2</v>
      </c>
      <c r="L22" s="245"/>
      <c r="M22" s="245">
        <v>2</v>
      </c>
      <c r="N22" s="245"/>
      <c r="O22" s="245">
        <f>(Q22*25-SUM(K22:N22)*14)</f>
        <v>44</v>
      </c>
      <c r="P22" s="245" t="s">
        <v>81</v>
      </c>
      <c r="Q22" s="254">
        <v>4</v>
      </c>
    </row>
    <row r="23" spans="1:17" s="264" customFormat="1" ht="9">
      <c r="A23" s="323">
        <v>11</v>
      </c>
      <c r="B23" s="293" t="s">
        <v>256</v>
      </c>
      <c r="C23" s="298" t="s">
        <v>242</v>
      </c>
      <c r="D23" s="248"/>
      <c r="E23" s="249"/>
      <c r="F23" s="252"/>
      <c r="G23" s="249"/>
      <c r="H23" s="249"/>
      <c r="I23" s="246"/>
      <c r="J23" s="247"/>
      <c r="K23" s="362"/>
      <c r="L23" s="245"/>
      <c r="M23" s="245"/>
      <c r="N23" s="245"/>
      <c r="O23" s="245"/>
      <c r="P23" s="245" t="s">
        <v>9</v>
      </c>
      <c r="Q23" s="254">
        <v>3</v>
      </c>
    </row>
    <row r="24" spans="1:17" s="264" customFormat="1" ht="9.75" thickBot="1">
      <c r="A24" s="323">
        <v>12</v>
      </c>
      <c r="B24" s="295" t="s">
        <v>279</v>
      </c>
      <c r="C24" s="299" t="s">
        <v>243</v>
      </c>
      <c r="D24" s="296"/>
      <c r="E24" s="255"/>
      <c r="F24" s="256"/>
      <c r="G24" s="255"/>
      <c r="H24" s="255"/>
      <c r="I24" s="257"/>
      <c r="J24" s="258"/>
      <c r="K24" s="259"/>
      <c r="L24" s="260"/>
      <c r="M24" s="260"/>
      <c r="N24" s="260">
        <v>4</v>
      </c>
      <c r="O24" s="245">
        <f>(Q24*25-SUM(K24:N24)*14)</f>
        <v>44</v>
      </c>
      <c r="P24" s="260" t="s">
        <v>9</v>
      </c>
      <c r="Q24" s="261">
        <v>4</v>
      </c>
    </row>
    <row r="25" spans="1:17" s="264" customFormat="1" ht="12.75" customHeight="1">
      <c r="A25" s="1172" t="s">
        <v>23</v>
      </c>
      <c r="B25" s="1172"/>
      <c r="C25" s="1173"/>
      <c r="D25" s="311">
        <f>SUM(D13:D24)</f>
        <v>10</v>
      </c>
      <c r="E25" s="312">
        <f>SUM(E13:E24)</f>
        <v>1</v>
      </c>
      <c r="F25" s="312">
        <f>SUM(F13:F24)</f>
        <v>2</v>
      </c>
      <c r="G25" s="312">
        <f>SUM(G13:G24)</f>
        <v>4</v>
      </c>
      <c r="H25" s="1164">
        <f>SUM(H13:H24)</f>
        <v>287</v>
      </c>
      <c r="I25" s="933" t="str">
        <f>COUNTIF(I10:I24,"E")&amp;"E"</f>
        <v>4E</v>
      </c>
      <c r="J25" s="1191">
        <f aca="true" t="shared" si="1" ref="J25:O25">SUM(J13:J24)</f>
        <v>21</v>
      </c>
      <c r="K25" s="313">
        <f t="shared" si="1"/>
        <v>6</v>
      </c>
      <c r="L25" s="887"/>
      <c r="M25" s="314">
        <f t="shared" si="1"/>
        <v>5</v>
      </c>
      <c r="N25" s="315">
        <f t="shared" si="1"/>
        <v>6</v>
      </c>
      <c r="O25" s="1164">
        <f t="shared" si="1"/>
        <v>212</v>
      </c>
      <c r="P25" s="933" t="str">
        <f>COUNTIF(P10:P24,"E")&amp;"E"</f>
        <v>3E</v>
      </c>
      <c r="Q25" s="1192">
        <f>SUM(Q13:Q24)</f>
        <v>21</v>
      </c>
    </row>
    <row r="26" spans="1:17" s="264" customFormat="1" ht="12.75" customHeight="1" thickBot="1">
      <c r="A26" s="1172"/>
      <c r="B26" s="1172"/>
      <c r="C26" s="1173"/>
      <c r="D26" s="1174">
        <f>SUM(D25:G25)</f>
        <v>17</v>
      </c>
      <c r="E26" s="1175"/>
      <c r="F26" s="1175"/>
      <c r="G26" s="1176"/>
      <c r="H26" s="1193"/>
      <c r="I26" s="934" t="str">
        <f>COUNTIF(I9:I23,"C")&amp;"C"</f>
        <v>1C</v>
      </c>
      <c r="J26" s="1191"/>
      <c r="K26" s="1174">
        <f>SUM(K25:N25)</f>
        <v>17</v>
      </c>
      <c r="L26" s="1175"/>
      <c r="M26" s="1175"/>
      <c r="N26" s="1176"/>
      <c r="O26" s="1193"/>
      <c r="P26" s="931" t="s">
        <v>201</v>
      </c>
      <c r="Q26" s="1192"/>
    </row>
    <row r="27" spans="1:17" s="264" customFormat="1" ht="13.5" customHeight="1" thickBot="1">
      <c r="A27" s="1170"/>
      <c r="B27" s="1170"/>
      <c r="C27" s="1171"/>
      <c r="D27" s="1177"/>
      <c r="E27" s="1178"/>
      <c r="F27" s="1178"/>
      <c r="G27" s="1179"/>
      <c r="H27" s="1165"/>
      <c r="I27" s="934" t="str">
        <f>COUNTIF(I10:I24,"P")&amp;"P"</f>
        <v>1P</v>
      </c>
      <c r="J27" s="1160"/>
      <c r="K27" s="1177"/>
      <c r="L27" s="1178"/>
      <c r="M27" s="1178"/>
      <c r="N27" s="1179"/>
      <c r="O27" s="1165"/>
      <c r="P27" s="931" t="str">
        <f>COUNTIF(P10:P24,"P")&amp;"P"</f>
        <v>1P</v>
      </c>
      <c r="Q27" s="1160"/>
    </row>
    <row r="28" spans="1:17" s="264" customFormat="1" ht="9.75" thickBot="1">
      <c r="A28" s="324"/>
      <c r="B28" s="324"/>
      <c r="C28" s="324"/>
      <c r="D28" s="262"/>
      <c r="E28" s="262"/>
      <c r="F28" s="262"/>
      <c r="G28" s="262"/>
      <c r="H28" s="324"/>
      <c r="I28" s="325"/>
      <c r="J28" s="262"/>
      <c r="K28" s="262"/>
      <c r="L28" s="262"/>
      <c r="M28" s="262"/>
      <c r="N28" s="262"/>
      <c r="O28" s="324"/>
      <c r="P28" s="326"/>
      <c r="Q28" s="262"/>
    </row>
    <row r="29" spans="1:17" s="264" customFormat="1" ht="9">
      <c r="A29" s="1180" t="s">
        <v>15</v>
      </c>
      <c r="B29" s="1180" t="s">
        <v>13</v>
      </c>
      <c r="C29" s="1195" t="s">
        <v>387</v>
      </c>
      <c r="D29" s="1184" t="s">
        <v>32</v>
      </c>
      <c r="E29" s="1185"/>
      <c r="F29" s="1185"/>
      <c r="G29" s="1185"/>
      <c r="H29" s="1185"/>
      <c r="I29" s="1185"/>
      <c r="J29" s="1186"/>
      <c r="K29" s="1184" t="s">
        <v>33</v>
      </c>
      <c r="L29" s="1185"/>
      <c r="M29" s="1185"/>
      <c r="N29" s="1185"/>
      <c r="O29" s="1185"/>
      <c r="P29" s="1185"/>
      <c r="Q29" s="1186"/>
    </row>
    <row r="30" spans="1:17" s="264" customFormat="1" ht="9">
      <c r="A30" s="1181"/>
      <c r="B30" s="1181"/>
      <c r="C30" s="1196"/>
      <c r="D30" s="1198" t="s">
        <v>9</v>
      </c>
      <c r="E30" s="1199" t="s">
        <v>10</v>
      </c>
      <c r="F30" s="1199" t="s">
        <v>11</v>
      </c>
      <c r="G30" s="1063" t="s">
        <v>12</v>
      </c>
      <c r="H30" s="1199" t="s">
        <v>40</v>
      </c>
      <c r="I30" s="1199" t="s">
        <v>16</v>
      </c>
      <c r="J30" s="1194" t="s">
        <v>17</v>
      </c>
      <c r="K30" s="1198" t="s">
        <v>9</v>
      </c>
      <c r="L30" s="1199" t="s">
        <v>10</v>
      </c>
      <c r="M30" s="1199" t="s">
        <v>11</v>
      </c>
      <c r="N30" s="1063" t="s">
        <v>12</v>
      </c>
      <c r="O30" s="1199" t="s">
        <v>40</v>
      </c>
      <c r="P30" s="1199" t="s">
        <v>16</v>
      </c>
      <c r="Q30" s="1194" t="s">
        <v>17</v>
      </c>
    </row>
    <row r="31" spans="1:17" s="264" customFormat="1" ht="11.25" customHeight="1" thickBot="1">
      <c r="A31" s="1182"/>
      <c r="B31" s="1182"/>
      <c r="C31" s="1197"/>
      <c r="D31" s="1188"/>
      <c r="E31" s="1064"/>
      <c r="F31" s="1064"/>
      <c r="G31" s="1189"/>
      <c r="H31" s="1064"/>
      <c r="I31" s="1064"/>
      <c r="J31" s="1190"/>
      <c r="K31" s="1188"/>
      <c r="L31" s="1064"/>
      <c r="M31" s="1064"/>
      <c r="N31" s="1189"/>
      <c r="O31" s="1064"/>
      <c r="P31" s="1064"/>
      <c r="Q31" s="1190"/>
    </row>
    <row r="32" spans="1:17" s="264" customFormat="1" ht="11.25" customHeight="1">
      <c r="A32" s="306">
        <v>13</v>
      </c>
      <c r="B32" s="300" t="s">
        <v>611</v>
      </c>
      <c r="C32" s="304" t="s">
        <v>538</v>
      </c>
      <c r="D32" s="1204">
        <v>2</v>
      </c>
      <c r="E32" s="1200">
        <v>1</v>
      </c>
      <c r="F32" s="1200"/>
      <c r="G32" s="1200">
        <v>2</v>
      </c>
      <c r="H32" s="1200">
        <f>(J32*25-SUM(D32:G32)*14)</f>
        <v>55</v>
      </c>
      <c r="I32" s="1201" t="s">
        <v>81</v>
      </c>
      <c r="J32" s="1208">
        <v>5</v>
      </c>
      <c r="K32" s="1207"/>
      <c r="L32" s="1200"/>
      <c r="M32" s="1200"/>
      <c r="N32" s="1200"/>
      <c r="O32" s="1200"/>
      <c r="P32" s="1200"/>
      <c r="Q32" s="1208"/>
    </row>
    <row r="33" spans="1:17" s="264" customFormat="1" ht="11.25" customHeight="1">
      <c r="A33" s="307">
        <v>14</v>
      </c>
      <c r="B33" s="300" t="s">
        <v>616</v>
      </c>
      <c r="C33" s="304" t="s">
        <v>260</v>
      </c>
      <c r="D33" s="1204"/>
      <c r="E33" s="1200"/>
      <c r="F33" s="1200"/>
      <c r="G33" s="1200"/>
      <c r="H33" s="1200"/>
      <c r="I33" s="1201"/>
      <c r="J33" s="1209"/>
      <c r="K33" s="1207"/>
      <c r="L33" s="1200"/>
      <c r="M33" s="1200"/>
      <c r="N33" s="1200"/>
      <c r="O33" s="1200"/>
      <c r="P33" s="1200"/>
      <c r="Q33" s="1209"/>
    </row>
    <row r="34" spans="1:17" s="264" customFormat="1" ht="11.25" customHeight="1">
      <c r="A34" s="308">
        <v>15</v>
      </c>
      <c r="B34" s="301" t="s">
        <v>615</v>
      </c>
      <c r="C34" s="303" t="s">
        <v>244</v>
      </c>
      <c r="D34" s="1204">
        <v>2</v>
      </c>
      <c r="E34" s="1200"/>
      <c r="F34" s="1200"/>
      <c r="G34" s="1200">
        <v>2</v>
      </c>
      <c r="H34" s="1200">
        <f>(J34*25-SUM(D34:G34)*14)</f>
        <v>44</v>
      </c>
      <c r="I34" s="1201" t="s">
        <v>9</v>
      </c>
      <c r="J34" s="1208">
        <v>4</v>
      </c>
      <c r="K34" s="1207"/>
      <c r="L34" s="1200"/>
      <c r="M34" s="1200"/>
      <c r="N34" s="1200"/>
      <c r="O34" s="1200"/>
      <c r="P34" s="1200"/>
      <c r="Q34" s="1208"/>
    </row>
    <row r="35" spans="1:17" s="264" customFormat="1" ht="11.25" customHeight="1">
      <c r="A35" s="308">
        <v>16</v>
      </c>
      <c r="B35" s="301" t="s">
        <v>610</v>
      </c>
      <c r="C35" s="303" t="s">
        <v>245</v>
      </c>
      <c r="D35" s="1204"/>
      <c r="E35" s="1200"/>
      <c r="F35" s="1200"/>
      <c r="G35" s="1200"/>
      <c r="H35" s="1200"/>
      <c r="I35" s="1201"/>
      <c r="J35" s="1209"/>
      <c r="K35" s="1207"/>
      <c r="L35" s="1200"/>
      <c r="M35" s="1200"/>
      <c r="N35" s="1200"/>
      <c r="O35" s="1200"/>
      <c r="P35" s="1200"/>
      <c r="Q35" s="1209"/>
    </row>
    <row r="36" spans="1:17" s="264" customFormat="1" ht="12" customHeight="1">
      <c r="A36" s="308">
        <v>17</v>
      </c>
      <c r="B36" s="293" t="s">
        <v>618</v>
      </c>
      <c r="C36" s="303" t="s">
        <v>539</v>
      </c>
      <c r="D36" s="1210"/>
      <c r="E36" s="1212"/>
      <c r="F36" s="1212"/>
      <c r="G36" s="1212"/>
      <c r="H36" s="1212"/>
      <c r="I36" s="1212"/>
      <c r="J36" s="1208"/>
      <c r="K36" s="1207">
        <v>2</v>
      </c>
      <c r="L36" s="1200"/>
      <c r="M36" s="1200">
        <v>1</v>
      </c>
      <c r="N36" s="1200"/>
      <c r="O36" s="1200">
        <f>(Q36*25-SUM(K36:N36)*14)</f>
        <v>33</v>
      </c>
      <c r="P36" s="1200" t="s">
        <v>81</v>
      </c>
      <c r="Q36" s="1208">
        <v>3</v>
      </c>
    </row>
    <row r="37" spans="1:17" s="264" customFormat="1" ht="12.75" customHeight="1">
      <c r="A37" s="308">
        <v>18</v>
      </c>
      <c r="B37" s="1010" t="s">
        <v>625</v>
      </c>
      <c r="C37" s="303" t="s">
        <v>261</v>
      </c>
      <c r="D37" s="1211"/>
      <c r="E37" s="1213"/>
      <c r="F37" s="1213"/>
      <c r="G37" s="1213"/>
      <c r="H37" s="1213"/>
      <c r="I37" s="1213"/>
      <c r="J37" s="1209"/>
      <c r="K37" s="1207"/>
      <c r="L37" s="1200"/>
      <c r="M37" s="1200"/>
      <c r="N37" s="1200"/>
      <c r="O37" s="1200"/>
      <c r="P37" s="1200"/>
      <c r="Q37" s="1209"/>
    </row>
    <row r="38" spans="1:17" s="264" customFormat="1" ht="12.75" customHeight="1">
      <c r="A38" s="308">
        <v>19</v>
      </c>
      <c r="B38" s="293" t="s">
        <v>609</v>
      </c>
      <c r="C38" s="303" t="s">
        <v>246</v>
      </c>
      <c r="D38" s="1210"/>
      <c r="E38" s="1212"/>
      <c r="F38" s="1212"/>
      <c r="G38" s="1212"/>
      <c r="H38" s="1212"/>
      <c r="I38" s="1212"/>
      <c r="J38" s="1208"/>
      <c r="K38" s="1207">
        <v>2</v>
      </c>
      <c r="L38" s="1200">
        <v>1</v>
      </c>
      <c r="M38" s="1200"/>
      <c r="N38" s="1200"/>
      <c r="O38" s="1200">
        <f>(Q38*25-SUM(K38:N38)*14)</f>
        <v>33</v>
      </c>
      <c r="P38" s="1200" t="s">
        <v>9</v>
      </c>
      <c r="Q38" s="1208">
        <v>3</v>
      </c>
    </row>
    <row r="39" spans="1:17" s="264" customFormat="1" ht="12.75" customHeight="1">
      <c r="A39" s="308">
        <v>20</v>
      </c>
      <c r="B39" s="293" t="s">
        <v>160</v>
      </c>
      <c r="C39" s="303" t="s">
        <v>247</v>
      </c>
      <c r="D39" s="1211"/>
      <c r="E39" s="1213"/>
      <c r="F39" s="1213"/>
      <c r="G39" s="1213"/>
      <c r="H39" s="1213"/>
      <c r="I39" s="1213"/>
      <c r="J39" s="1209"/>
      <c r="K39" s="1207"/>
      <c r="L39" s="1200"/>
      <c r="M39" s="1200"/>
      <c r="N39" s="1200"/>
      <c r="O39" s="1200"/>
      <c r="P39" s="1200"/>
      <c r="Q39" s="1209"/>
    </row>
    <row r="40" spans="1:17" s="264" customFormat="1" ht="12" customHeight="1">
      <c r="A40" s="308">
        <v>21</v>
      </c>
      <c r="B40" s="293" t="s">
        <v>619</v>
      </c>
      <c r="C40" s="303" t="s">
        <v>248</v>
      </c>
      <c r="D40" s="1210"/>
      <c r="E40" s="1212"/>
      <c r="F40" s="1212"/>
      <c r="G40" s="1212"/>
      <c r="H40" s="1212"/>
      <c r="I40" s="1212"/>
      <c r="J40" s="1208"/>
      <c r="K40" s="1207">
        <v>2</v>
      </c>
      <c r="L40" s="1200"/>
      <c r="M40" s="1201">
        <v>1</v>
      </c>
      <c r="N40" s="1212"/>
      <c r="O40" s="1200">
        <f>(Q40*25-SUM(K40:N40)*14)</f>
        <v>33</v>
      </c>
      <c r="P40" s="1200" t="s">
        <v>9</v>
      </c>
      <c r="Q40" s="1208">
        <v>3</v>
      </c>
    </row>
    <row r="41" spans="1:17" s="264" customFormat="1" ht="12.75" customHeight="1" thickBot="1">
      <c r="A41" s="305">
        <v>22</v>
      </c>
      <c r="B41" s="302" t="s">
        <v>161</v>
      </c>
      <c r="C41" s="303" t="s">
        <v>249</v>
      </c>
      <c r="D41" s="1211"/>
      <c r="E41" s="1213"/>
      <c r="F41" s="1213"/>
      <c r="G41" s="1213"/>
      <c r="H41" s="1213"/>
      <c r="I41" s="1213"/>
      <c r="J41" s="1209"/>
      <c r="K41" s="1207"/>
      <c r="L41" s="1200"/>
      <c r="M41" s="1200"/>
      <c r="N41" s="1223"/>
      <c r="O41" s="1200"/>
      <c r="P41" s="1200"/>
      <c r="Q41" s="1209"/>
    </row>
    <row r="42" spans="1:17" s="264" customFormat="1" ht="12.75" customHeight="1">
      <c r="A42" s="1166" t="s">
        <v>24</v>
      </c>
      <c r="B42" s="1167"/>
      <c r="C42" s="1167"/>
      <c r="D42" s="311">
        <f>SUM(D32:D41)</f>
        <v>4</v>
      </c>
      <c r="E42" s="317">
        <f>SUM(E32:E41)</f>
        <v>1</v>
      </c>
      <c r="F42" s="889"/>
      <c r="G42" s="318">
        <f>SUM(G32:G41)</f>
        <v>4</v>
      </c>
      <c r="H42" s="1164">
        <f>SUM(H32:H41)</f>
        <v>99</v>
      </c>
      <c r="I42" s="933" t="str">
        <f>COUNTIF(I27:I41,"E")&amp;"E"</f>
        <v>1E</v>
      </c>
      <c r="J42" s="1159">
        <f aca="true" t="shared" si="2" ref="J42:O42">SUM(J32:J41)</f>
        <v>9</v>
      </c>
      <c r="K42" s="319">
        <f t="shared" si="2"/>
        <v>6</v>
      </c>
      <c r="L42" s="317">
        <f t="shared" si="2"/>
        <v>1</v>
      </c>
      <c r="M42" s="317">
        <f t="shared" si="2"/>
        <v>2</v>
      </c>
      <c r="N42" s="889"/>
      <c r="O42" s="1224">
        <f t="shared" si="2"/>
        <v>99</v>
      </c>
      <c r="P42" s="933" t="str">
        <f>COUNTIF(P27:P41,"E")&amp;"E"</f>
        <v>1E</v>
      </c>
      <c r="Q42" s="1159">
        <f>SUM(Q32:Q41)</f>
        <v>9</v>
      </c>
    </row>
    <row r="43" spans="1:17" s="264" customFormat="1" ht="12.75" customHeight="1" thickBot="1">
      <c r="A43" s="1169"/>
      <c r="B43" s="1170"/>
      <c r="C43" s="1171"/>
      <c r="D43" s="1161">
        <f>SUM(D42:G42)</f>
        <v>9</v>
      </c>
      <c r="E43" s="1162"/>
      <c r="F43" s="1162"/>
      <c r="G43" s="1163"/>
      <c r="H43" s="1165"/>
      <c r="I43" s="931" t="str">
        <f>COUNTIF(I27:I41,"C")&amp;"C"</f>
        <v>1C</v>
      </c>
      <c r="J43" s="1160"/>
      <c r="K43" s="1161">
        <f>SUM(K42:N42)</f>
        <v>9</v>
      </c>
      <c r="L43" s="1162"/>
      <c r="M43" s="1162"/>
      <c r="N43" s="1163"/>
      <c r="O43" s="1225"/>
      <c r="P43" s="934" t="str">
        <f>COUNTIF(P27:P41,"C")&amp;"C"</f>
        <v>2C</v>
      </c>
      <c r="Q43" s="1160"/>
    </row>
    <row r="44" spans="3:9" s="264" customFormat="1" ht="12.75" customHeight="1" thickBot="1">
      <c r="C44" s="263"/>
      <c r="I44" s="327"/>
    </row>
    <row r="45" spans="1:17" s="264" customFormat="1" ht="12.75" customHeight="1">
      <c r="A45" s="324"/>
      <c r="B45" s="328" t="s">
        <v>26</v>
      </c>
      <c r="C45" s="263"/>
      <c r="D45" s="311">
        <f>D25+D42</f>
        <v>14</v>
      </c>
      <c r="E45" s="318">
        <f>E25+E42</f>
        <v>2</v>
      </c>
      <c r="F45" s="318">
        <f>F25+F42</f>
        <v>2</v>
      </c>
      <c r="G45" s="318">
        <f>G25+G42</f>
        <v>8</v>
      </c>
      <c r="H45" s="1205">
        <f>H25+H42</f>
        <v>386</v>
      </c>
      <c r="I45" s="309" t="s">
        <v>196</v>
      </c>
      <c r="J45" s="1202">
        <f>IF((J25+J42)&lt;&gt;30,"NU",30)</f>
        <v>30</v>
      </c>
      <c r="K45" s="848">
        <f>K25+K42</f>
        <v>12</v>
      </c>
      <c r="L45" s="318">
        <f>L25+L42</f>
        <v>1</v>
      </c>
      <c r="M45" s="318">
        <f>M25+M42</f>
        <v>7</v>
      </c>
      <c r="N45" s="318">
        <f>N25+N42</f>
        <v>6</v>
      </c>
      <c r="O45" s="1205">
        <f>O25+O42</f>
        <v>311</v>
      </c>
      <c r="P45" s="309" t="s">
        <v>198</v>
      </c>
      <c r="Q45" s="1202">
        <f>IF((Q25+Q42)&lt;&gt;30,"NU",30)</f>
        <v>30</v>
      </c>
    </row>
    <row r="46" spans="1:17" s="264" customFormat="1" ht="12.75" customHeight="1" thickBot="1">
      <c r="A46" s="324"/>
      <c r="B46" s="328"/>
      <c r="C46" s="263"/>
      <c r="D46" s="932"/>
      <c r="E46" s="931"/>
      <c r="F46" s="931"/>
      <c r="G46" s="931"/>
      <c r="H46" s="1193"/>
      <c r="I46" s="310" t="s">
        <v>201</v>
      </c>
      <c r="J46" s="1192"/>
      <c r="K46" s="324"/>
      <c r="L46" s="324"/>
      <c r="M46" s="324"/>
      <c r="N46" s="930"/>
      <c r="O46" s="1193"/>
      <c r="P46" s="316" t="s">
        <v>199</v>
      </c>
      <c r="Q46" s="1192"/>
    </row>
    <row r="47" spans="1:17" s="264" customFormat="1" ht="12.75" customHeight="1" thickBot="1">
      <c r="A47" s="324"/>
      <c r="B47" s="328"/>
      <c r="C47" s="263"/>
      <c r="D47" s="1215">
        <f>SUM(D45:G45)</f>
        <v>26</v>
      </c>
      <c r="E47" s="1216"/>
      <c r="F47" s="1216"/>
      <c r="G47" s="1216"/>
      <c r="H47" s="1206"/>
      <c r="I47" s="310" t="s">
        <v>571</v>
      </c>
      <c r="J47" s="1203"/>
      <c r="K47" s="1217">
        <f>SUM(K45:N45)</f>
        <v>26</v>
      </c>
      <c r="L47" s="1218"/>
      <c r="M47" s="1218"/>
      <c r="N47" s="1219"/>
      <c r="O47" s="1206"/>
      <c r="P47" s="316" t="s">
        <v>571</v>
      </c>
      <c r="Q47" s="1203"/>
    </row>
    <row r="48" spans="1:17" s="264" customFormat="1" ht="9.75" thickBot="1">
      <c r="A48" s="320"/>
      <c r="B48" s="324"/>
      <c r="C48" s="324"/>
      <c r="D48" s="329"/>
      <c r="E48" s="329"/>
      <c r="F48" s="329"/>
      <c r="G48" s="329"/>
      <c r="H48" s="329"/>
      <c r="I48" s="330"/>
      <c r="J48" s="329"/>
      <c r="K48" s="329"/>
      <c r="L48" s="329"/>
      <c r="M48" s="329"/>
      <c r="N48" s="329"/>
      <c r="O48" s="329"/>
      <c r="P48" s="331"/>
      <c r="Q48" s="329"/>
    </row>
    <row r="49" spans="1:17" s="264" customFormat="1" ht="12.75" customHeight="1">
      <c r="A49" s="1180" t="s">
        <v>15</v>
      </c>
      <c r="B49" s="1180" t="s">
        <v>14</v>
      </c>
      <c r="C49" s="1180" t="s">
        <v>387</v>
      </c>
      <c r="D49" s="1184" t="s">
        <v>32</v>
      </c>
      <c r="E49" s="1185"/>
      <c r="F49" s="1185"/>
      <c r="G49" s="1185"/>
      <c r="H49" s="1185"/>
      <c r="I49" s="1185"/>
      <c r="J49" s="1186"/>
      <c r="K49" s="1184" t="s">
        <v>33</v>
      </c>
      <c r="L49" s="1185"/>
      <c r="M49" s="1185"/>
      <c r="N49" s="1185"/>
      <c r="O49" s="1185"/>
      <c r="P49" s="1185"/>
      <c r="Q49" s="1186"/>
    </row>
    <row r="50" spans="1:17" s="264" customFormat="1" ht="9">
      <c r="A50" s="1181"/>
      <c r="B50" s="1181"/>
      <c r="C50" s="1181"/>
      <c r="D50" s="1198" t="s">
        <v>9</v>
      </c>
      <c r="E50" s="1063" t="s">
        <v>10</v>
      </c>
      <c r="F50" s="1199" t="s">
        <v>11</v>
      </c>
      <c r="G50" s="1199" t="s">
        <v>12</v>
      </c>
      <c r="H50" s="1199" t="s">
        <v>40</v>
      </c>
      <c r="I50" s="1063" t="s">
        <v>16</v>
      </c>
      <c r="J50" s="1194" t="s">
        <v>17</v>
      </c>
      <c r="K50" s="1198" t="s">
        <v>9</v>
      </c>
      <c r="L50" s="1199" t="s">
        <v>10</v>
      </c>
      <c r="M50" s="1063" t="s">
        <v>11</v>
      </c>
      <c r="N50" s="1199" t="s">
        <v>12</v>
      </c>
      <c r="O50" s="1199" t="s">
        <v>40</v>
      </c>
      <c r="P50" s="1063" t="s">
        <v>16</v>
      </c>
      <c r="Q50" s="1194" t="s">
        <v>203</v>
      </c>
    </row>
    <row r="51" spans="1:17" s="264" customFormat="1" ht="9.75" thickBot="1">
      <c r="A51" s="1182"/>
      <c r="B51" s="1182"/>
      <c r="C51" s="1182"/>
      <c r="D51" s="1188"/>
      <c r="E51" s="1189"/>
      <c r="F51" s="1064"/>
      <c r="G51" s="1064"/>
      <c r="H51" s="1064"/>
      <c r="I51" s="1064"/>
      <c r="J51" s="1190"/>
      <c r="K51" s="1188"/>
      <c r="L51" s="1064"/>
      <c r="M51" s="1189"/>
      <c r="N51" s="1064"/>
      <c r="O51" s="1064"/>
      <c r="P51" s="1064"/>
      <c r="Q51" s="1190"/>
    </row>
    <row r="52" spans="1:17" s="264" customFormat="1" ht="9">
      <c r="A52" s="860">
        <v>23</v>
      </c>
      <c r="B52" s="1012" t="s">
        <v>628</v>
      </c>
      <c r="C52" s="861" t="s">
        <v>541</v>
      </c>
      <c r="D52" s="313"/>
      <c r="E52" s="314"/>
      <c r="F52" s="314"/>
      <c r="G52" s="314">
        <v>2</v>
      </c>
      <c r="H52" s="862">
        <f>(J52*25-SUM(D52:G52)*14)</f>
        <v>22</v>
      </c>
      <c r="I52" s="314" t="s">
        <v>9</v>
      </c>
      <c r="J52" s="863">
        <v>2</v>
      </c>
      <c r="K52" s="313"/>
      <c r="L52" s="314"/>
      <c r="M52" s="314"/>
      <c r="N52" s="314"/>
      <c r="O52" s="862"/>
      <c r="P52" s="314"/>
      <c r="Q52" s="863"/>
    </row>
    <row r="53" spans="1:17" s="264" customFormat="1" ht="9">
      <c r="A53" s="860">
        <v>24</v>
      </c>
      <c r="B53" s="864" t="s">
        <v>556</v>
      </c>
      <c r="C53" s="861" t="s">
        <v>544</v>
      </c>
      <c r="D53" s="313">
        <v>2</v>
      </c>
      <c r="E53" s="314">
        <v>1</v>
      </c>
      <c r="F53" s="314">
        <v>1</v>
      </c>
      <c r="G53" s="314"/>
      <c r="H53" s="862">
        <f>(J53*25-SUM(D53:G53)*14)</f>
        <v>44</v>
      </c>
      <c r="I53" s="314" t="s">
        <v>81</v>
      </c>
      <c r="J53" s="863">
        <v>4</v>
      </c>
      <c r="K53" s="313"/>
      <c r="L53" s="314"/>
      <c r="M53" s="314"/>
      <c r="N53" s="314"/>
      <c r="O53" s="862"/>
      <c r="P53" s="314"/>
      <c r="Q53" s="863"/>
    </row>
    <row r="54" spans="1:17" s="264" customFormat="1" ht="9">
      <c r="A54" s="860">
        <v>25</v>
      </c>
      <c r="B54" s="865" t="s">
        <v>557</v>
      </c>
      <c r="C54" s="861" t="s">
        <v>545</v>
      </c>
      <c r="D54" s="313"/>
      <c r="E54" s="314"/>
      <c r="F54" s="314"/>
      <c r="G54" s="314">
        <v>2</v>
      </c>
      <c r="H54" s="862">
        <f>(J54*25-SUM(D54:G54)*14)</f>
        <v>22</v>
      </c>
      <c r="I54" s="314" t="s">
        <v>9</v>
      </c>
      <c r="J54" s="863">
        <v>2</v>
      </c>
      <c r="K54" s="313"/>
      <c r="L54" s="314"/>
      <c r="M54" s="314"/>
      <c r="N54" s="314"/>
      <c r="O54" s="862"/>
      <c r="P54" s="314"/>
      <c r="Q54" s="863"/>
    </row>
    <row r="55" spans="1:17" s="264" customFormat="1" ht="9">
      <c r="A55" s="866">
        <v>26</v>
      </c>
      <c r="B55" s="867" t="s">
        <v>558</v>
      </c>
      <c r="C55" s="868" t="s">
        <v>542</v>
      </c>
      <c r="D55" s="313">
        <v>2</v>
      </c>
      <c r="E55" s="314"/>
      <c r="F55" s="314">
        <v>2</v>
      </c>
      <c r="G55" s="314"/>
      <c r="H55" s="862">
        <f>(J55*25-SUM(D55:G55)*14)</f>
        <v>44</v>
      </c>
      <c r="I55" s="869" t="s">
        <v>9</v>
      </c>
      <c r="J55" s="870">
        <v>4</v>
      </c>
      <c r="K55" s="313"/>
      <c r="L55" s="314"/>
      <c r="M55" s="314"/>
      <c r="N55" s="314"/>
      <c r="O55" s="862"/>
      <c r="P55" s="314"/>
      <c r="Q55" s="863"/>
    </row>
    <row r="56" spans="1:17" s="264" customFormat="1" ht="9">
      <c r="A56" s="871">
        <v>27</v>
      </c>
      <c r="B56" s="867" t="s">
        <v>549</v>
      </c>
      <c r="C56" s="868" t="s">
        <v>560</v>
      </c>
      <c r="D56" s="313"/>
      <c r="E56" s="314"/>
      <c r="F56" s="314"/>
      <c r="G56" s="314"/>
      <c r="H56" s="245"/>
      <c r="I56" s="869"/>
      <c r="J56" s="870"/>
      <c r="K56" s="313">
        <v>2</v>
      </c>
      <c r="L56" s="314"/>
      <c r="M56" s="314"/>
      <c r="N56" s="314">
        <v>2</v>
      </c>
      <c r="O56" s="245">
        <f>(Q56*25-SUM(K56:N56)*14)</f>
        <v>44</v>
      </c>
      <c r="P56" s="869" t="s">
        <v>9</v>
      </c>
      <c r="Q56" s="870">
        <v>4</v>
      </c>
    </row>
    <row r="57" spans="1:20" s="264" customFormat="1" ht="9.75" customHeight="1" thickBot="1">
      <c r="A57" s="872">
        <v>28</v>
      </c>
      <c r="B57" s="867" t="s">
        <v>559</v>
      </c>
      <c r="C57" s="868" t="s">
        <v>561</v>
      </c>
      <c r="D57" s="313"/>
      <c r="E57" s="314"/>
      <c r="F57" s="314"/>
      <c r="G57" s="314"/>
      <c r="H57" s="245"/>
      <c r="I57" s="869"/>
      <c r="J57" s="870"/>
      <c r="K57" s="313">
        <v>2</v>
      </c>
      <c r="L57" s="314"/>
      <c r="M57" s="314"/>
      <c r="N57" s="314">
        <v>2</v>
      </c>
      <c r="O57" s="245">
        <f>(Q57*25-SUM(K57:N57)*14)</f>
        <v>44</v>
      </c>
      <c r="P57" s="869" t="s">
        <v>9</v>
      </c>
      <c r="Q57" s="870">
        <v>4</v>
      </c>
      <c r="R57" s="108"/>
      <c r="S57" s="108"/>
      <c r="T57" s="108"/>
    </row>
    <row r="58" spans="1:20" s="264" customFormat="1" ht="12.75">
      <c r="A58" s="1166" t="s">
        <v>25</v>
      </c>
      <c r="B58" s="1167"/>
      <c r="C58" s="1168"/>
      <c r="D58" s="311">
        <f>SUM(D52:D57)</f>
        <v>4</v>
      </c>
      <c r="E58" s="318">
        <f>SUM(E52:E57)</f>
        <v>1</v>
      </c>
      <c r="F58" s="318">
        <f>SUM(F52:F57)</f>
        <v>3</v>
      </c>
      <c r="G58" s="848">
        <f>SUM(G52:G57)</f>
        <v>4</v>
      </c>
      <c r="H58" s="1164">
        <f>SUM(H52:H57)</f>
        <v>132</v>
      </c>
      <c r="I58" s="873" t="str">
        <f>COUNTIF(I41:I57,"E")&amp;"E"</f>
        <v>1E</v>
      </c>
      <c r="J58" s="1159">
        <f aca="true" t="shared" si="3" ref="J58:O58">SUM(J52:J57)</f>
        <v>12</v>
      </c>
      <c r="K58" s="311">
        <f t="shared" si="3"/>
        <v>4</v>
      </c>
      <c r="L58" s="890"/>
      <c r="M58" s="890"/>
      <c r="N58" s="848">
        <f t="shared" si="3"/>
        <v>4</v>
      </c>
      <c r="O58" s="1164">
        <f t="shared" si="3"/>
        <v>88</v>
      </c>
      <c r="P58" s="849"/>
      <c r="Q58" s="1159">
        <f>SUM(Q52:Q57)</f>
        <v>8</v>
      </c>
      <c r="R58" s="108"/>
      <c r="S58" s="108"/>
      <c r="T58" s="108"/>
    </row>
    <row r="59" spans="1:20" s="264" customFormat="1" ht="13.5" thickBot="1">
      <c r="A59" s="1169"/>
      <c r="B59" s="1170"/>
      <c r="C59" s="1171"/>
      <c r="D59" s="1161">
        <v>12</v>
      </c>
      <c r="E59" s="1162"/>
      <c r="F59" s="1162"/>
      <c r="G59" s="1163"/>
      <c r="H59" s="1165"/>
      <c r="I59" s="874" t="str">
        <f>COUNTIF(I41:I57,"C")&amp;"C"</f>
        <v>3C</v>
      </c>
      <c r="J59" s="1160"/>
      <c r="K59" s="1177">
        <f>SUM(K58:N58)</f>
        <v>8</v>
      </c>
      <c r="L59" s="1178"/>
      <c r="M59" s="1178"/>
      <c r="N59" s="1179"/>
      <c r="O59" s="1165"/>
      <c r="P59" s="875" t="str">
        <f>COUNTIF(P41:P57,"C")&amp;"C"</f>
        <v>2C</v>
      </c>
      <c r="Q59" s="1192"/>
      <c r="R59" s="108"/>
      <c r="S59" s="108"/>
      <c r="T59" s="108"/>
    </row>
    <row r="60" spans="1:20" s="264" customFormat="1" ht="13.5" customHeight="1" thickBot="1">
      <c r="A60" s="324"/>
      <c r="B60" s="1214" t="s">
        <v>45</v>
      </c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08"/>
      <c r="S60" s="108"/>
      <c r="T60" s="108"/>
    </row>
    <row r="61" spans="1:20" s="264" customFormat="1" ht="13.5" thickBot="1">
      <c r="A61" s="329"/>
      <c r="B61" s="1220" t="s">
        <v>258</v>
      </c>
      <c r="C61" s="1221"/>
      <c r="D61" s="1221"/>
      <c r="E61" s="1221"/>
      <c r="F61" s="1221"/>
      <c r="G61" s="1221"/>
      <c r="H61" s="1221"/>
      <c r="I61" s="1221"/>
      <c r="J61" s="1221"/>
      <c r="K61" s="1221"/>
      <c r="L61" s="1221"/>
      <c r="M61" s="1221"/>
      <c r="N61" s="1221"/>
      <c r="O61" s="1222"/>
      <c r="P61" s="850" t="s">
        <v>259</v>
      </c>
      <c r="Q61" s="851">
        <v>10</v>
      </c>
      <c r="R61" s="108"/>
      <c r="S61" s="108"/>
      <c r="T61" s="108"/>
    </row>
    <row r="62" spans="1:20" s="264" customFormat="1" ht="12.75">
      <c r="A62" s="265" t="s">
        <v>140</v>
      </c>
      <c r="B62" s="265" t="s">
        <v>139</v>
      </c>
      <c r="C62" s="265"/>
      <c r="D62" s="265"/>
      <c r="E62" s="265"/>
      <c r="F62" s="265"/>
      <c r="G62" s="265"/>
      <c r="H62" s="265"/>
      <c r="I62" s="265" t="s">
        <v>138</v>
      </c>
      <c r="J62" s="265"/>
      <c r="K62" s="265"/>
      <c r="L62" s="265"/>
      <c r="M62" s="265"/>
      <c r="N62" s="265"/>
      <c r="O62" s="265"/>
      <c r="P62" s="265"/>
      <c r="Q62" s="265"/>
      <c r="R62" s="108"/>
      <c r="S62" s="108"/>
      <c r="T62" s="108"/>
    </row>
    <row r="63" spans="1:20" s="264" customFormat="1" ht="12.75">
      <c r="A63" s="265"/>
      <c r="B63" s="266" t="s">
        <v>143</v>
      </c>
      <c r="C63" s="266"/>
      <c r="D63" s="266"/>
      <c r="E63" s="266"/>
      <c r="F63" s="266"/>
      <c r="G63" s="266"/>
      <c r="H63" s="265"/>
      <c r="I63" s="266" t="s">
        <v>144</v>
      </c>
      <c r="J63" s="265"/>
      <c r="K63" s="265"/>
      <c r="L63" s="265"/>
      <c r="M63" s="265"/>
      <c r="N63" s="265"/>
      <c r="O63" s="265"/>
      <c r="P63" s="265"/>
      <c r="Q63" s="265"/>
      <c r="R63" s="108"/>
      <c r="S63" s="108"/>
      <c r="T63" s="108"/>
    </row>
    <row r="64" spans="1:20" s="264" customFormat="1" ht="12.75">
      <c r="A64" s="265"/>
      <c r="B64" s="266"/>
      <c r="C64" s="266"/>
      <c r="D64" s="266"/>
      <c r="E64" s="266"/>
      <c r="F64" s="266"/>
      <c r="G64" s="266"/>
      <c r="H64" s="265"/>
      <c r="I64" s="266"/>
      <c r="J64" s="265"/>
      <c r="K64" s="265"/>
      <c r="L64" s="265"/>
      <c r="M64" s="265"/>
      <c r="N64" s="265"/>
      <c r="O64" s="265"/>
      <c r="P64" s="265"/>
      <c r="Q64" s="265"/>
      <c r="R64" s="108"/>
      <c r="S64" s="108"/>
      <c r="T64" s="108"/>
    </row>
    <row r="65" spans="1:17" ht="12.75">
      <c r="A65" s="265"/>
      <c r="B65" s="265" t="s">
        <v>142</v>
      </c>
      <c r="C65" s="265"/>
      <c r="D65" s="265"/>
      <c r="E65" s="265"/>
      <c r="F65" s="265"/>
      <c r="G65" s="265"/>
      <c r="H65" s="265"/>
      <c r="I65" s="265" t="s">
        <v>141</v>
      </c>
      <c r="J65" s="265"/>
      <c r="K65" s="265"/>
      <c r="L65" s="265"/>
      <c r="M65" s="265"/>
      <c r="N65" s="265"/>
      <c r="O65" s="265"/>
      <c r="P65" s="265"/>
      <c r="Q65" s="265"/>
    </row>
    <row r="66" spans="1:17" ht="12.75">
      <c r="A66" s="266"/>
      <c r="B66" s="266" t="s">
        <v>145</v>
      </c>
      <c r="C66" s="266"/>
      <c r="D66" s="266"/>
      <c r="E66" s="266"/>
      <c r="F66" s="266"/>
      <c r="G66" s="266"/>
      <c r="H66" s="266"/>
      <c r="I66" s="266" t="s">
        <v>145</v>
      </c>
      <c r="J66" s="266"/>
      <c r="K66" s="266"/>
      <c r="L66" s="266"/>
      <c r="M66" s="266"/>
      <c r="N66" s="266"/>
      <c r="O66" s="266"/>
      <c r="P66" s="266"/>
      <c r="Q66" s="266"/>
    </row>
    <row r="67" spans="1:17" ht="12.75">
      <c r="A67" s="1"/>
      <c r="B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</sheetData>
  <sheetProtection/>
  <mergeCells count="164">
    <mergeCell ref="B61:O61"/>
    <mergeCell ref="N40:N41"/>
    <mergeCell ref="P40:P41"/>
    <mergeCell ref="D50:D51"/>
    <mergeCell ref="E50:E51"/>
    <mergeCell ref="F50:F51"/>
    <mergeCell ref="N50:N51"/>
    <mergeCell ref="J50:J51"/>
    <mergeCell ref="O42:O43"/>
    <mergeCell ref="J42:J43"/>
    <mergeCell ref="G50:G51"/>
    <mergeCell ref="B60:Q60"/>
    <mergeCell ref="Q45:Q47"/>
    <mergeCell ref="D47:G47"/>
    <mergeCell ref="K47:N47"/>
    <mergeCell ref="O45:O47"/>
    <mergeCell ref="P50:P51"/>
    <mergeCell ref="O50:O51"/>
    <mergeCell ref="Q50:Q51"/>
    <mergeCell ref="L50:L51"/>
    <mergeCell ref="H40:H41"/>
    <mergeCell ref="I40:I41"/>
    <mergeCell ref="J40:J41"/>
    <mergeCell ref="K40:K41"/>
    <mergeCell ref="D40:D41"/>
    <mergeCell ref="E40:E41"/>
    <mergeCell ref="F40:F41"/>
    <mergeCell ref="G40:G41"/>
    <mergeCell ref="F32:F33"/>
    <mergeCell ref="H38:H39"/>
    <mergeCell ref="I38:I39"/>
    <mergeCell ref="J38:J39"/>
    <mergeCell ref="K38:K39"/>
    <mergeCell ref="D38:D39"/>
    <mergeCell ref="E38:E39"/>
    <mergeCell ref="F38:F39"/>
    <mergeCell ref="G38:G39"/>
    <mergeCell ref="P34:P35"/>
    <mergeCell ref="Q36:Q37"/>
    <mergeCell ref="L36:L37"/>
    <mergeCell ref="J32:J33"/>
    <mergeCell ref="D36:D37"/>
    <mergeCell ref="E36:E37"/>
    <mergeCell ref="F36:F37"/>
    <mergeCell ref="G36:G37"/>
    <mergeCell ref="H36:H37"/>
    <mergeCell ref="I36:I37"/>
    <mergeCell ref="P36:P37"/>
    <mergeCell ref="M38:M39"/>
    <mergeCell ref="N38:N39"/>
    <mergeCell ref="G32:G33"/>
    <mergeCell ref="Q32:Q33"/>
    <mergeCell ref="N36:N37"/>
    <mergeCell ref="O36:O37"/>
    <mergeCell ref="O32:O33"/>
    <mergeCell ref="Q34:Q35"/>
    <mergeCell ref="P32:P33"/>
    <mergeCell ref="K50:K51"/>
    <mergeCell ref="J34:J35"/>
    <mergeCell ref="K34:K35"/>
    <mergeCell ref="J36:J37"/>
    <mergeCell ref="K36:K37"/>
    <mergeCell ref="L38:L39"/>
    <mergeCell ref="O38:O39"/>
    <mergeCell ref="M50:M51"/>
    <mergeCell ref="Q38:Q39"/>
    <mergeCell ref="K59:N59"/>
    <mergeCell ref="Q42:Q43"/>
    <mergeCell ref="Q40:Q41"/>
    <mergeCell ref="Q58:Q59"/>
    <mergeCell ref="O58:O59"/>
    <mergeCell ref="K49:Q49"/>
    <mergeCell ref="P38:P39"/>
    <mergeCell ref="H25:H27"/>
    <mergeCell ref="H45:H47"/>
    <mergeCell ref="M32:M33"/>
    <mergeCell ref="L34:L35"/>
    <mergeCell ref="D34:D35"/>
    <mergeCell ref="E34:E35"/>
    <mergeCell ref="F34:F35"/>
    <mergeCell ref="G34:G35"/>
    <mergeCell ref="K32:K33"/>
    <mergeCell ref="M36:M37"/>
    <mergeCell ref="A42:C43"/>
    <mergeCell ref="H42:H43"/>
    <mergeCell ref="D43:G43"/>
    <mergeCell ref="L40:L41"/>
    <mergeCell ref="M40:M41"/>
    <mergeCell ref="M30:M31"/>
    <mergeCell ref="K43:N43"/>
    <mergeCell ref="M34:M35"/>
    <mergeCell ref="D32:D33"/>
    <mergeCell ref="E32:E33"/>
    <mergeCell ref="K29:Q29"/>
    <mergeCell ref="A49:A51"/>
    <mergeCell ref="B49:B51"/>
    <mergeCell ref="C49:C51"/>
    <mergeCell ref="D49:J49"/>
    <mergeCell ref="H50:H51"/>
    <mergeCell ref="I50:I51"/>
    <mergeCell ref="O40:O41"/>
    <mergeCell ref="J45:J47"/>
    <mergeCell ref="N34:N35"/>
    <mergeCell ref="L30:L31"/>
    <mergeCell ref="N30:N31"/>
    <mergeCell ref="O30:O31"/>
    <mergeCell ref="G30:G31"/>
    <mergeCell ref="H30:H31"/>
    <mergeCell ref="I30:I31"/>
    <mergeCell ref="J30:J31"/>
    <mergeCell ref="K30:K31"/>
    <mergeCell ref="O34:O35"/>
    <mergeCell ref="H34:H35"/>
    <mergeCell ref="I34:I35"/>
    <mergeCell ref="N32:N33"/>
    <mergeCell ref="L32:L33"/>
    <mergeCell ref="H32:H33"/>
    <mergeCell ref="I32:I33"/>
    <mergeCell ref="K26:N27"/>
    <mergeCell ref="Q30:Q31"/>
    <mergeCell ref="A29:A31"/>
    <mergeCell ref="B29:B31"/>
    <mergeCell ref="C29:C31"/>
    <mergeCell ref="D29:J29"/>
    <mergeCell ref="D30:D31"/>
    <mergeCell ref="E30:E31"/>
    <mergeCell ref="F30:F31"/>
    <mergeCell ref="P30:P31"/>
    <mergeCell ref="K11:K12"/>
    <mergeCell ref="P11:P12"/>
    <mergeCell ref="Q11:Q12"/>
    <mergeCell ref="J25:J27"/>
    <mergeCell ref="Q25:Q27"/>
    <mergeCell ref="O11:O12"/>
    <mergeCell ref="L11:L12"/>
    <mergeCell ref="M11:M12"/>
    <mergeCell ref="N11:N12"/>
    <mergeCell ref="O25:O27"/>
    <mergeCell ref="E11:E12"/>
    <mergeCell ref="F11:F12"/>
    <mergeCell ref="G11:G12"/>
    <mergeCell ref="H11:H12"/>
    <mergeCell ref="I11:I12"/>
    <mergeCell ref="J11:J12"/>
    <mergeCell ref="A6:F6"/>
    <mergeCell ref="A7:F7"/>
    <mergeCell ref="A8:F8"/>
    <mergeCell ref="A9:Q9"/>
    <mergeCell ref="A10:A12"/>
    <mergeCell ref="B10:B12"/>
    <mergeCell ref="C10:C12"/>
    <mergeCell ref="D10:J10"/>
    <mergeCell ref="K10:Q10"/>
    <mergeCell ref="D11:D12"/>
    <mergeCell ref="J58:J59"/>
    <mergeCell ref="D59:G59"/>
    <mergeCell ref="H58:H59"/>
    <mergeCell ref="A58:C59"/>
    <mergeCell ref="A4:F4"/>
    <mergeCell ref="A1:C1"/>
    <mergeCell ref="A3:P3"/>
    <mergeCell ref="A5:F5"/>
    <mergeCell ref="A25:C27"/>
    <mergeCell ref="D26:G27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  <headerFooter alignWithMargins="0">
    <oddFooter>&amp;R5/7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25">
      <selection activeCell="L17" sqref="L17"/>
    </sheetView>
  </sheetViews>
  <sheetFormatPr defaultColWidth="9.140625" defaultRowHeight="12.75"/>
  <cols>
    <col min="1" max="1" width="2.8515625" style="108" customWidth="1"/>
    <col min="2" max="2" width="5.28125" style="108" customWidth="1"/>
    <col min="3" max="3" width="31.00390625" style="108" customWidth="1"/>
    <col min="4" max="4" width="10.8515625" style="108" customWidth="1"/>
    <col min="5" max="5" width="10.421875" style="108" bestFit="1" customWidth="1"/>
    <col min="6" max="6" width="9.28125" style="108" customWidth="1"/>
    <col min="7" max="8" width="8.28125" style="108" customWidth="1"/>
    <col min="9" max="9" width="7.140625" style="108" customWidth="1"/>
    <col min="10" max="10" width="5.140625" style="108" customWidth="1"/>
    <col min="11" max="11" width="6.57421875" style="108" customWidth="1"/>
    <col min="12" max="12" width="4.28125" style="108" customWidth="1"/>
    <col min="13" max="16384" width="9.140625" style="108" customWidth="1"/>
  </cols>
  <sheetData>
    <row r="1" spans="1:9" ht="12.75">
      <c r="A1" s="1238" t="s">
        <v>72</v>
      </c>
      <c r="B1" s="1238"/>
      <c r="C1" s="1238"/>
      <c r="D1" s="358"/>
      <c r="E1" s="358"/>
      <c r="F1" s="358"/>
      <c r="G1" s="358"/>
      <c r="H1" s="358"/>
      <c r="I1" s="358"/>
    </row>
    <row r="2" spans="1:20" ht="12.75">
      <c r="A2" s="361" t="s">
        <v>562</v>
      </c>
      <c r="B2" s="361"/>
      <c r="C2" s="361"/>
      <c r="D2" s="358"/>
      <c r="E2" s="358"/>
      <c r="F2" s="358"/>
      <c r="G2" s="358"/>
      <c r="H2" s="358"/>
      <c r="I2" s="358"/>
      <c r="R2" s="73"/>
      <c r="S2" s="73"/>
      <c r="T2" s="73"/>
    </row>
    <row r="3" spans="1:20" ht="19.5" customHeight="1">
      <c r="A3" s="1235" t="s">
        <v>21</v>
      </c>
      <c r="B3" s="1235"/>
      <c r="C3" s="1235"/>
      <c r="D3" s="1235"/>
      <c r="E3" s="1235"/>
      <c r="F3" s="1235"/>
      <c r="G3" s="1235"/>
      <c r="H3" s="1235"/>
      <c r="I3" s="1235"/>
      <c r="J3" s="71"/>
      <c r="K3" s="71"/>
      <c r="L3" s="71"/>
      <c r="M3" s="71"/>
      <c r="N3" s="71"/>
      <c r="O3" s="71"/>
      <c r="P3" s="71"/>
      <c r="Q3" s="28"/>
      <c r="R3" s="27"/>
      <c r="S3" s="73"/>
      <c r="T3" s="73"/>
    </row>
    <row r="4" spans="1:15" ht="12.75">
      <c r="A4" s="358"/>
      <c r="B4" s="358"/>
      <c r="C4" s="5"/>
      <c r="D4" s="359"/>
      <c r="E4" s="359"/>
      <c r="F4" s="359"/>
      <c r="G4" s="359"/>
      <c r="H4" s="359"/>
      <c r="I4" s="359"/>
      <c r="J4" s="70"/>
      <c r="K4" s="27"/>
      <c r="L4" s="27"/>
      <c r="M4" s="27"/>
      <c r="N4" s="7"/>
      <c r="O4" s="7"/>
    </row>
    <row r="5" spans="1:10" ht="12.75">
      <c r="A5" s="1234" t="s">
        <v>76</v>
      </c>
      <c r="B5" s="1234"/>
      <c r="C5" s="1234"/>
      <c r="D5" s="1234"/>
      <c r="E5" s="1234"/>
      <c r="F5" s="1234"/>
      <c r="G5" s="360"/>
      <c r="H5" s="360"/>
      <c r="I5" s="359"/>
      <c r="J5" s="70"/>
    </row>
    <row r="6" spans="1:9" ht="12.75">
      <c r="A6" s="1234" t="s">
        <v>606</v>
      </c>
      <c r="B6" s="1234"/>
      <c r="C6" s="1234"/>
      <c r="D6" s="1234"/>
      <c r="E6" s="1234"/>
      <c r="F6" s="1234"/>
      <c r="G6" s="360"/>
      <c r="H6" s="360"/>
      <c r="I6" s="358"/>
    </row>
    <row r="7" spans="1:10" ht="12.75">
      <c r="A7" s="1238" t="s">
        <v>257</v>
      </c>
      <c r="B7" s="1238"/>
      <c r="C7" s="1238"/>
      <c r="D7" s="1238"/>
      <c r="E7" s="1238"/>
      <c r="F7" s="1238"/>
      <c r="G7" s="5"/>
      <c r="H7" s="5"/>
      <c r="I7" s="5"/>
      <c r="J7" s="109"/>
    </row>
    <row r="8" spans="1:10" ht="12.75">
      <c r="A8" s="1238" t="s">
        <v>77</v>
      </c>
      <c r="B8" s="1238"/>
      <c r="C8" s="1238"/>
      <c r="D8" s="1238"/>
      <c r="E8" s="1238"/>
      <c r="F8" s="1238"/>
      <c r="G8" s="357"/>
      <c r="H8" s="357"/>
      <c r="I8" s="357"/>
      <c r="J8" s="73"/>
    </row>
    <row r="9" spans="1:10" ht="15" customHeight="1">
      <c r="A9" s="1234" t="s">
        <v>605</v>
      </c>
      <c r="B9" s="1234"/>
      <c r="C9" s="1234"/>
      <c r="D9" s="1234"/>
      <c r="E9" s="1234"/>
      <c r="F9" s="1234"/>
      <c r="G9" s="360"/>
      <c r="H9" s="360"/>
      <c r="I9" s="360"/>
      <c r="J9" s="27"/>
    </row>
    <row r="10" ht="15" customHeight="1" thickBot="1"/>
    <row r="11" spans="3:7" ht="30" customHeight="1">
      <c r="C11" s="79" t="s">
        <v>69</v>
      </c>
      <c r="D11" s="1236" t="s">
        <v>68</v>
      </c>
      <c r="E11" s="1237"/>
      <c r="F11" s="1230" t="s">
        <v>70</v>
      </c>
      <c r="G11" s="1231"/>
    </row>
    <row r="12" spans="3:7" ht="15" customHeight="1" thickBot="1">
      <c r="C12" s="110" t="s">
        <v>66</v>
      </c>
      <c r="D12" s="111" t="s">
        <v>0</v>
      </c>
      <c r="E12" s="112" t="s">
        <v>1</v>
      </c>
      <c r="F12" s="113" t="s">
        <v>0</v>
      </c>
      <c r="G12" s="112" t="s">
        <v>1</v>
      </c>
    </row>
    <row r="13" spans="3:7" ht="15" customHeight="1">
      <c r="C13" s="114" t="s">
        <v>2</v>
      </c>
      <c r="D13" s="115">
        <v>14</v>
      </c>
      <c r="E13" s="116">
        <v>14</v>
      </c>
      <c r="F13" s="117">
        <v>26</v>
      </c>
      <c r="G13" s="116">
        <v>26</v>
      </c>
    </row>
    <row r="14" spans="3:7" ht="15" customHeight="1">
      <c r="C14" s="118" t="s">
        <v>3</v>
      </c>
      <c r="D14" s="119">
        <v>14</v>
      </c>
      <c r="E14" s="120">
        <v>14</v>
      </c>
      <c r="F14" s="121">
        <v>26</v>
      </c>
      <c r="G14" s="120">
        <v>26</v>
      </c>
    </row>
    <row r="15" spans="3:7" ht="15" customHeight="1">
      <c r="C15" s="118" t="s">
        <v>4</v>
      </c>
      <c r="D15" s="119">
        <v>14</v>
      </c>
      <c r="E15" s="120">
        <v>14</v>
      </c>
      <c r="F15" s="121">
        <v>26</v>
      </c>
      <c r="G15" s="120">
        <v>26</v>
      </c>
    </row>
    <row r="16" spans="3:7" ht="15" customHeight="1" thickBot="1">
      <c r="C16" s="110" t="s">
        <v>67</v>
      </c>
      <c r="D16" s="111">
        <v>14</v>
      </c>
      <c r="E16" s="112">
        <v>14</v>
      </c>
      <c r="F16" s="113">
        <v>26</v>
      </c>
      <c r="G16" s="112">
        <v>26</v>
      </c>
    </row>
    <row r="17" ht="15" customHeight="1">
      <c r="C17" s="80" t="s">
        <v>71</v>
      </c>
    </row>
    <row r="18" ht="15" customHeight="1">
      <c r="C18" s="80"/>
    </row>
    <row r="19" spans="3:7" ht="15.75" customHeight="1">
      <c r="C19" s="1239" t="s">
        <v>41</v>
      </c>
      <c r="D19" s="1240"/>
      <c r="E19" s="1240"/>
      <c r="F19" s="1240"/>
      <c r="G19" s="1240"/>
    </row>
    <row r="20" ht="13.5" thickBot="1"/>
    <row r="21" spans="2:7" ht="14.25" customHeight="1">
      <c r="B21" s="1226" t="s">
        <v>15</v>
      </c>
      <c r="C21" s="1226" t="s">
        <v>42</v>
      </c>
      <c r="D21" s="1241" t="s">
        <v>52</v>
      </c>
      <c r="E21" s="122" t="s">
        <v>36</v>
      </c>
      <c r="F21" s="122" t="s">
        <v>36</v>
      </c>
      <c r="G21" s="123"/>
    </row>
    <row r="22" spans="2:7" ht="13.5" customHeight="1" thickBot="1">
      <c r="B22" s="1227"/>
      <c r="C22" s="1227"/>
      <c r="D22" s="1242"/>
      <c r="E22" s="124" t="s">
        <v>37</v>
      </c>
      <c r="F22" s="124" t="s">
        <v>38</v>
      </c>
      <c r="G22" s="125"/>
    </row>
    <row r="23" spans="2:7" ht="15" customHeight="1">
      <c r="B23" s="1232">
        <v>1</v>
      </c>
      <c r="C23" s="126" t="s">
        <v>35</v>
      </c>
      <c r="D23" s="127">
        <v>2562</v>
      </c>
      <c r="E23" s="1228">
        <f>(D23+D24)/D26</f>
        <v>0.8889593908629442</v>
      </c>
      <c r="F23" s="1248" t="s">
        <v>250</v>
      </c>
      <c r="G23" s="123"/>
    </row>
    <row r="24" spans="2:7" ht="15" customHeight="1">
      <c r="B24" s="1233"/>
      <c r="C24" s="128" t="s">
        <v>46</v>
      </c>
      <c r="D24" s="129">
        <v>240</v>
      </c>
      <c r="E24" s="1229"/>
      <c r="F24" s="1249"/>
      <c r="G24" s="123"/>
    </row>
    <row r="25" spans="2:7" ht="15" customHeight="1">
      <c r="B25" s="64">
        <v>2</v>
      </c>
      <c r="C25" s="130" t="s">
        <v>43</v>
      </c>
      <c r="D25" s="131">
        <v>350</v>
      </c>
      <c r="E25" s="333">
        <f>D25/D26</f>
        <v>0.11104060913705584</v>
      </c>
      <c r="F25" s="132" t="s">
        <v>251</v>
      </c>
      <c r="G25" s="123"/>
    </row>
    <row r="26" spans="2:7" ht="15.75" customHeight="1">
      <c r="B26" s="64"/>
      <c r="C26" s="133" t="s">
        <v>47</v>
      </c>
      <c r="D26" s="131">
        <f>SUM(D23:D25)</f>
        <v>3152</v>
      </c>
      <c r="E26" s="333">
        <f>SUM(E23:E25)</f>
        <v>1</v>
      </c>
      <c r="F26" s="333">
        <v>1</v>
      </c>
      <c r="G26" s="123"/>
    </row>
    <row r="27" spans="2:7" ht="18" customHeight="1" thickBot="1">
      <c r="B27" s="72">
        <v>3</v>
      </c>
      <c r="C27" s="134" t="s">
        <v>39</v>
      </c>
      <c r="D27" s="135">
        <v>994</v>
      </c>
      <c r="E27" s="334">
        <f>D27/D26</f>
        <v>0.3153553299492386</v>
      </c>
      <c r="F27" s="332" t="s">
        <v>252</v>
      </c>
      <c r="G27" s="123"/>
    </row>
    <row r="28" spans="2:7" ht="13.5" thickBot="1">
      <c r="B28" s="68"/>
      <c r="C28" s="136" t="s">
        <v>48</v>
      </c>
      <c r="D28" s="137">
        <f>D26+D27</f>
        <v>4146</v>
      </c>
      <c r="E28" s="335">
        <f>E26+E27</f>
        <v>1.3153553299492386</v>
      </c>
      <c r="F28" s="335" t="s">
        <v>253</v>
      </c>
      <c r="G28" s="123"/>
    </row>
    <row r="29" spans="2:6" ht="15.75" customHeight="1">
      <c r="B29" s="66"/>
      <c r="C29" s="138"/>
      <c r="D29" s="139"/>
      <c r="E29" s="140"/>
      <c r="F29" s="141"/>
    </row>
    <row r="30" spans="2:6" ht="15.75" customHeight="1" thickBot="1">
      <c r="B30" s="67"/>
      <c r="C30" s="142"/>
      <c r="D30" s="123"/>
      <c r="E30" s="143"/>
      <c r="F30" s="144"/>
    </row>
    <row r="31" spans="2:8" ht="12.75">
      <c r="B31" s="1226" t="s">
        <v>15</v>
      </c>
      <c r="C31" s="1226" t="s">
        <v>42</v>
      </c>
      <c r="D31" s="1241" t="s">
        <v>52</v>
      </c>
      <c r="E31" s="122" t="s">
        <v>36</v>
      </c>
      <c r="F31" s="122" t="s">
        <v>36</v>
      </c>
      <c r="G31" s="1245" t="s">
        <v>49</v>
      </c>
      <c r="H31" s="1247"/>
    </row>
    <row r="32" spans="2:8" ht="15.75" customHeight="1" thickBot="1">
      <c r="B32" s="1227"/>
      <c r="C32" s="1227"/>
      <c r="D32" s="1242"/>
      <c r="E32" s="124" t="s">
        <v>37</v>
      </c>
      <c r="F32" s="124" t="s">
        <v>38</v>
      </c>
      <c r="G32" s="145" t="s">
        <v>50</v>
      </c>
      <c r="H32" s="145" t="s">
        <v>51</v>
      </c>
    </row>
    <row r="33" spans="2:8" ht="15.75" customHeight="1">
      <c r="B33" s="64">
        <v>1</v>
      </c>
      <c r="C33" s="146" t="s">
        <v>18</v>
      </c>
      <c r="D33" s="147">
        <v>560</v>
      </c>
      <c r="E33" s="336">
        <f>D33/D37</f>
        <v>0.17766497461928935</v>
      </c>
      <c r="F33" s="148" t="s">
        <v>83</v>
      </c>
      <c r="G33" s="149">
        <v>266</v>
      </c>
      <c r="H33" s="150">
        <v>294</v>
      </c>
    </row>
    <row r="34" spans="2:8" ht="15" customHeight="1">
      <c r="B34" s="64">
        <v>2</v>
      </c>
      <c r="C34" s="151" t="s">
        <v>572</v>
      </c>
      <c r="D34" s="152">
        <v>1280</v>
      </c>
      <c r="E34" s="337">
        <f>D34/D37</f>
        <v>0.40609137055837563</v>
      </c>
      <c r="F34" s="153" t="s">
        <v>84</v>
      </c>
      <c r="G34" s="154">
        <v>616</v>
      </c>
      <c r="H34" s="154">
        <v>664</v>
      </c>
    </row>
    <row r="35" spans="2:8" ht="15" customHeight="1">
      <c r="B35" s="64">
        <v>3</v>
      </c>
      <c r="C35" s="151" t="s">
        <v>20</v>
      </c>
      <c r="D35" s="152">
        <v>1116</v>
      </c>
      <c r="E35" s="337">
        <f>D35/D37</f>
        <v>0.35406091370558374</v>
      </c>
      <c r="F35" s="153" t="s">
        <v>89</v>
      </c>
      <c r="G35" s="154">
        <v>504</v>
      </c>
      <c r="H35" s="154">
        <v>612</v>
      </c>
    </row>
    <row r="36" spans="2:8" ht="15.75" customHeight="1" thickBot="1">
      <c r="B36" s="65">
        <v>4</v>
      </c>
      <c r="C36" s="155" t="s">
        <v>19</v>
      </c>
      <c r="D36" s="154">
        <v>196</v>
      </c>
      <c r="E36" s="338">
        <f>D36/D37</f>
        <v>0.06218274111675127</v>
      </c>
      <c r="F36" s="156" t="s">
        <v>86</v>
      </c>
      <c r="G36" s="157">
        <v>28</v>
      </c>
      <c r="H36" s="154">
        <v>168</v>
      </c>
    </row>
    <row r="37" spans="2:8" s="163" customFormat="1" ht="14.25" customHeight="1" thickBot="1">
      <c r="B37" s="158"/>
      <c r="C37" s="159" t="s">
        <v>146</v>
      </c>
      <c r="D37" s="160">
        <f>SUM(D33:D36)</f>
        <v>3152</v>
      </c>
      <c r="E37" s="339">
        <f>SUM(E33:E36)</f>
        <v>1</v>
      </c>
      <c r="F37" s="161">
        <v>100</v>
      </c>
      <c r="G37" s="162">
        <f>SUM(G33:G36)</f>
        <v>1414</v>
      </c>
      <c r="H37" s="162">
        <f>SUM(H33:H36)</f>
        <v>1738</v>
      </c>
    </row>
    <row r="38" spans="2:6" ht="13.5" customHeight="1" thickBot="1">
      <c r="B38" s="6"/>
      <c r="C38" s="164"/>
      <c r="D38" s="165"/>
      <c r="E38" s="165"/>
      <c r="F38" s="165"/>
    </row>
    <row r="39" spans="3:4" ht="13.5" customHeight="1" thickBot="1">
      <c r="C39" s="166" t="s">
        <v>44</v>
      </c>
      <c r="D39" s="929">
        <f>G37/H37</f>
        <v>0.8135788262370541</v>
      </c>
    </row>
    <row r="40" ht="13.5" customHeight="1" thickBot="1"/>
    <row r="41" spans="2:9" ht="13.5" customHeight="1" thickBot="1">
      <c r="B41" s="149" t="s">
        <v>53</v>
      </c>
      <c r="C41" s="167" t="s">
        <v>54</v>
      </c>
      <c r="D41" s="1245" t="s">
        <v>65</v>
      </c>
      <c r="E41" s="1246"/>
      <c r="F41" s="1246"/>
      <c r="G41" s="1247"/>
      <c r="H41" s="1243" t="s">
        <v>34</v>
      </c>
      <c r="I41" s="1244"/>
    </row>
    <row r="42" spans="2:9" ht="13.5" customHeight="1" thickBot="1">
      <c r="B42" s="145" t="s">
        <v>55</v>
      </c>
      <c r="C42" s="168" t="s">
        <v>56</v>
      </c>
      <c r="D42" s="111" t="s">
        <v>57</v>
      </c>
      <c r="E42" s="169" t="s">
        <v>58</v>
      </c>
      <c r="F42" s="170" t="s">
        <v>63</v>
      </c>
      <c r="G42" s="171" t="s">
        <v>64</v>
      </c>
      <c r="H42" s="172" t="s">
        <v>53</v>
      </c>
      <c r="I42" s="173" t="s">
        <v>59</v>
      </c>
    </row>
    <row r="43" spans="2:9" ht="13.5" customHeight="1">
      <c r="B43" s="174">
        <v>1</v>
      </c>
      <c r="C43" s="175" t="s">
        <v>60</v>
      </c>
      <c r="D43" s="115">
        <v>9</v>
      </c>
      <c r="E43" s="176">
        <v>10</v>
      </c>
      <c r="F43" s="176">
        <v>9</v>
      </c>
      <c r="G43" s="116">
        <v>9</v>
      </c>
      <c r="H43" s="177">
        <f>SUM(D43:G43)</f>
        <v>37</v>
      </c>
      <c r="I43" s="344">
        <f>H43/H45</f>
        <v>0.5362318840579711</v>
      </c>
    </row>
    <row r="44" spans="2:9" ht="13.5" customHeight="1" thickBot="1">
      <c r="B44" s="178">
        <v>2</v>
      </c>
      <c r="C44" s="179" t="s">
        <v>570</v>
      </c>
      <c r="D44" s="115">
        <v>8</v>
      </c>
      <c r="E44" s="176">
        <v>7</v>
      </c>
      <c r="F44" s="180">
        <v>9</v>
      </c>
      <c r="G44" s="120">
        <v>8</v>
      </c>
      <c r="H44" s="117">
        <f>SUM(D44:G44)</f>
        <v>32</v>
      </c>
      <c r="I44" s="345">
        <f>H44/H45</f>
        <v>0.463768115942029</v>
      </c>
    </row>
    <row r="45" spans="2:9" ht="13.5" customHeight="1" thickBot="1">
      <c r="B45" s="181"/>
      <c r="C45" s="182" t="s">
        <v>62</v>
      </c>
      <c r="D45" s="183">
        <f aca="true" t="shared" si="0" ref="D45:I45">SUM(D43:D44)</f>
        <v>17</v>
      </c>
      <c r="E45" s="184">
        <f t="shared" si="0"/>
        <v>17</v>
      </c>
      <c r="F45" s="184">
        <f t="shared" si="0"/>
        <v>18</v>
      </c>
      <c r="G45" s="355">
        <f t="shared" si="0"/>
        <v>17</v>
      </c>
      <c r="H45" s="185">
        <f t="shared" si="0"/>
        <v>69</v>
      </c>
      <c r="I45" s="346">
        <f t="shared" si="0"/>
        <v>1</v>
      </c>
    </row>
    <row r="46" spans="2:6" ht="13.5" customHeight="1">
      <c r="B46" s="6"/>
      <c r="C46" s="164"/>
      <c r="D46" s="165"/>
      <c r="E46" s="165"/>
      <c r="F46" s="165"/>
    </row>
    <row r="47" spans="1:17" ht="12.75">
      <c r="A47" s="28" t="s">
        <v>140</v>
      </c>
      <c r="B47" s="28" t="s">
        <v>139</v>
      </c>
      <c r="C47" s="28"/>
      <c r="D47" s="28"/>
      <c r="E47" s="28" t="s">
        <v>138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89" t="s">
        <v>143</v>
      </c>
      <c r="C48" s="89"/>
      <c r="D48" s="89"/>
      <c r="E48" s="89" t="s">
        <v>144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89"/>
      <c r="C49" s="89"/>
      <c r="D49" s="89"/>
      <c r="E49" s="89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4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 t="s">
        <v>142</v>
      </c>
      <c r="C51" s="28"/>
      <c r="D51" s="28"/>
      <c r="E51" s="28" t="s">
        <v>141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89"/>
      <c r="B52" s="89" t="s">
        <v>145</v>
      </c>
      <c r="C52" s="89"/>
      <c r="D52" s="89"/>
      <c r="E52" s="89" t="s">
        <v>145</v>
      </c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</row>
    <row r="55" ht="12.75" customHeight="1"/>
    <row r="61" ht="12" customHeight="1"/>
    <row r="66" ht="12.75" customHeight="1"/>
    <row r="67" ht="13.5" customHeight="1"/>
  </sheetData>
  <sheetProtection/>
  <mergeCells count="22">
    <mergeCell ref="A1:C1"/>
    <mergeCell ref="C19:G19"/>
    <mergeCell ref="B21:B22"/>
    <mergeCell ref="C21:C22"/>
    <mergeCell ref="D21:D22"/>
    <mergeCell ref="H41:I41"/>
    <mergeCell ref="D41:G41"/>
    <mergeCell ref="D31:D32"/>
    <mergeCell ref="F23:F24"/>
    <mergeCell ref="G31:H31"/>
    <mergeCell ref="A3:I3"/>
    <mergeCell ref="A5:F5"/>
    <mergeCell ref="D11:E11"/>
    <mergeCell ref="A8:F8"/>
    <mergeCell ref="A6:F6"/>
    <mergeCell ref="A7:F7"/>
    <mergeCell ref="B31:B32"/>
    <mergeCell ref="C31:C32"/>
    <mergeCell ref="E23:E24"/>
    <mergeCell ref="F11:G11"/>
    <mergeCell ref="B23:B24"/>
    <mergeCell ref="A9:F9"/>
  </mergeCells>
  <printOptions/>
  <pageMargins left="0.4724409448818898" right="0.4724409448818898" top="0.4724409448818898" bottom="0.4724409448818898" header="0.5118110236220472" footer="0.5118110236220472"/>
  <pageSetup horizontalDpi="600" verticalDpi="600" orientation="portrait" paperSize="9" r:id="rId1"/>
  <headerFooter alignWithMargins="0">
    <oddFooter>&amp;R6/7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39"/>
  <sheetViews>
    <sheetView zoomScalePageLayoutView="0" workbookViewId="0" topLeftCell="A4">
      <selection activeCell="E17" sqref="E17"/>
    </sheetView>
  </sheetViews>
  <sheetFormatPr defaultColWidth="9.140625" defaultRowHeight="12.75"/>
  <cols>
    <col min="1" max="1" width="38.8515625" style="108" customWidth="1"/>
    <col min="2" max="2" width="3.421875" style="108" customWidth="1"/>
    <col min="3" max="3" width="46.00390625" style="108" customWidth="1"/>
    <col min="4" max="4" width="9.140625" style="108" customWidth="1"/>
    <col min="5" max="5" width="9.140625" style="1" customWidth="1"/>
    <col min="6" max="16384" width="9.140625" style="108" customWidth="1"/>
  </cols>
  <sheetData>
    <row r="1" spans="1:3" ht="12.75">
      <c r="A1" s="1238" t="s">
        <v>22</v>
      </c>
      <c r="B1" s="1238"/>
      <c r="C1" s="1238"/>
    </row>
    <row r="2" spans="1:3" ht="12.75">
      <c r="A2" s="1238" t="s">
        <v>562</v>
      </c>
      <c r="B2" s="1238"/>
      <c r="C2" s="1238"/>
    </row>
    <row r="3" spans="1:20" ht="18.75" customHeight="1">
      <c r="A3" s="1235" t="s">
        <v>21</v>
      </c>
      <c r="B3" s="1235"/>
      <c r="C3" s="1235"/>
      <c r="D3" s="71"/>
      <c r="E3" s="8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0"/>
      <c r="R3" s="73"/>
      <c r="S3" s="73"/>
      <c r="T3" s="73"/>
    </row>
    <row r="4" spans="1:20" ht="12.75" customHeight="1">
      <c r="A4" s="358"/>
      <c r="B4" s="358"/>
      <c r="C4" s="5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R4" s="27"/>
      <c r="S4" s="73"/>
      <c r="T4" s="73"/>
    </row>
    <row r="5" spans="1:56" ht="12.75">
      <c r="A5" s="361" t="s">
        <v>76</v>
      </c>
      <c r="B5" s="361"/>
      <c r="C5" s="361"/>
      <c r="D5" s="25"/>
      <c r="E5" s="25"/>
      <c r="F5" s="25"/>
      <c r="G5" s="27"/>
      <c r="H5" s="27"/>
      <c r="I5" s="70"/>
      <c r="J5" s="70"/>
      <c r="K5" s="70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7"/>
      <c r="BD5" s="7"/>
    </row>
    <row r="6" spans="1:20" ht="12.75">
      <c r="A6" s="361" t="s">
        <v>606</v>
      </c>
      <c r="B6" s="361"/>
      <c r="C6" s="361"/>
      <c r="D6" s="25"/>
      <c r="E6" s="25"/>
      <c r="F6" s="25"/>
      <c r="G6" s="27"/>
      <c r="H6" s="27"/>
      <c r="L6" s="8"/>
      <c r="M6" s="8"/>
      <c r="N6" s="8"/>
      <c r="O6" s="8"/>
      <c r="P6" s="8"/>
      <c r="Q6" s="8"/>
      <c r="R6" s="25"/>
      <c r="S6" s="25"/>
      <c r="T6" s="73"/>
    </row>
    <row r="7" spans="1:20" ht="12.75">
      <c r="A7" s="361" t="s">
        <v>263</v>
      </c>
      <c r="B7" s="361"/>
      <c r="C7" s="361"/>
      <c r="D7" s="25"/>
      <c r="E7" s="25"/>
      <c r="F7" s="25"/>
      <c r="G7" s="8"/>
      <c r="H7" s="8"/>
      <c r="I7" s="8"/>
      <c r="J7" s="109"/>
      <c r="K7" s="109"/>
      <c r="L7" s="109"/>
      <c r="M7" s="109"/>
      <c r="N7" s="109"/>
      <c r="O7" s="109"/>
      <c r="P7" s="109"/>
      <c r="Q7" s="109"/>
      <c r="R7" s="8"/>
      <c r="S7" s="73"/>
      <c r="T7" s="73"/>
    </row>
    <row r="8" spans="1:20" ht="12.75">
      <c r="A8" s="361" t="s">
        <v>77</v>
      </c>
      <c r="B8" s="361"/>
      <c r="C8" s="361"/>
      <c r="D8" s="25"/>
      <c r="E8" s="25"/>
      <c r="F8" s="25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</row>
    <row r="9" spans="1:20" ht="12.75">
      <c r="A9" s="25" t="s">
        <v>605</v>
      </c>
      <c r="B9" s="361"/>
      <c r="C9" s="361"/>
      <c r="D9" s="25"/>
      <c r="E9" s="25"/>
      <c r="F9" s="25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2.7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3" ht="12.75">
      <c r="A15" s="83" t="s">
        <v>264</v>
      </c>
      <c r="B15" s="73"/>
      <c r="C15" s="7" t="s">
        <v>265</v>
      </c>
    </row>
    <row r="16" spans="1:3" ht="12.75">
      <c r="A16" s="350"/>
      <c r="B16" s="27"/>
      <c r="C16" s="351"/>
    </row>
    <row r="17" spans="1:7" ht="45.75">
      <c r="A17" s="348" t="s">
        <v>563</v>
      </c>
      <c r="B17" s="27"/>
      <c r="C17" s="353" t="s">
        <v>532</v>
      </c>
      <c r="E17" s="244"/>
      <c r="F17" s="244"/>
      <c r="G17" s="244"/>
    </row>
    <row r="18" spans="1:5" ht="34.5">
      <c r="A18" s="348" t="s">
        <v>564</v>
      </c>
      <c r="B18" s="27"/>
      <c r="C18" s="354" t="s">
        <v>533</v>
      </c>
      <c r="E18" s="349"/>
    </row>
    <row r="19" spans="1:5" ht="45">
      <c r="A19" s="844" t="s">
        <v>565</v>
      </c>
      <c r="B19" s="73"/>
      <c r="C19" s="354" t="s">
        <v>534</v>
      </c>
      <c r="E19" s="349"/>
    </row>
    <row r="20" spans="1:5" ht="23.25">
      <c r="A20" s="353" t="s">
        <v>566</v>
      </c>
      <c r="B20" s="73"/>
      <c r="C20" s="354"/>
      <c r="E20" s="349"/>
    </row>
    <row r="21" spans="1:5" ht="34.5">
      <c r="A21" s="353" t="s">
        <v>567</v>
      </c>
      <c r="B21" s="27"/>
      <c r="C21" s="348"/>
      <c r="E21" s="349"/>
    </row>
    <row r="22" spans="1:5" ht="23.25">
      <c r="A22" s="353" t="s">
        <v>568</v>
      </c>
      <c r="B22" s="27"/>
      <c r="C22" s="353"/>
      <c r="E22" s="349"/>
    </row>
    <row r="23" spans="1:5" ht="12.75">
      <c r="A23" s="348"/>
      <c r="B23" s="349"/>
      <c r="C23" s="348"/>
      <c r="E23" s="349"/>
    </row>
    <row r="24" spans="1:5" ht="12.75">
      <c r="A24" s="348"/>
      <c r="B24" s="349"/>
      <c r="C24" s="348"/>
      <c r="E24" s="349"/>
    </row>
    <row r="25" spans="1:3" ht="12.75">
      <c r="A25" s="348"/>
      <c r="B25" s="349"/>
      <c r="C25" s="348"/>
    </row>
    <row r="26" spans="1:3" ht="12.75">
      <c r="A26" s="353"/>
      <c r="B26" s="363"/>
      <c r="C26" s="348"/>
    </row>
    <row r="27" spans="1:3" ht="12.75">
      <c r="A27" s="353"/>
      <c r="B27" s="363"/>
      <c r="C27" s="348"/>
    </row>
    <row r="28" spans="1:3" ht="12.75">
      <c r="A28" s="353"/>
      <c r="B28" s="363"/>
      <c r="C28" s="348"/>
    </row>
    <row r="29" spans="1:3" ht="12.75">
      <c r="A29" s="352"/>
      <c r="C29" s="348"/>
    </row>
    <row r="30" spans="1:3" ht="14.25" customHeight="1">
      <c r="A30" s="1250"/>
      <c r="B30" s="1250"/>
      <c r="C30" s="1250"/>
    </row>
    <row r="31" spans="1:7" ht="15.75" customHeight="1">
      <c r="A31" s="28" t="s">
        <v>139</v>
      </c>
      <c r="B31" s="28"/>
      <c r="C31" s="28" t="s">
        <v>138</v>
      </c>
      <c r="D31" s="28"/>
      <c r="E31" s="25"/>
      <c r="F31" s="28"/>
      <c r="G31" s="28"/>
    </row>
    <row r="32" spans="1:7" ht="13.5" customHeight="1">
      <c r="A32" s="89" t="s">
        <v>143</v>
      </c>
      <c r="B32" s="89"/>
      <c r="C32" s="89" t="s">
        <v>144</v>
      </c>
      <c r="D32" s="28"/>
      <c r="E32" s="25"/>
      <c r="F32" s="28"/>
      <c r="G32" s="28"/>
    </row>
    <row r="33" spans="1:7" ht="13.5" customHeight="1">
      <c r="A33" s="89"/>
      <c r="B33" s="89"/>
      <c r="C33" s="89"/>
      <c r="D33" s="28"/>
      <c r="E33" s="25"/>
      <c r="F33" s="28"/>
      <c r="G33" s="28"/>
    </row>
    <row r="34" spans="1:7" ht="13.5" customHeight="1">
      <c r="A34" s="89"/>
      <c r="B34" s="89"/>
      <c r="C34" s="89"/>
      <c r="D34" s="28"/>
      <c r="E34" s="25"/>
      <c r="F34" s="28"/>
      <c r="G34" s="28"/>
    </row>
    <row r="35" spans="1:7" ht="13.5" customHeight="1">
      <c r="A35" s="89"/>
      <c r="B35" s="89"/>
      <c r="C35" s="89"/>
      <c r="D35" s="28"/>
      <c r="E35" s="25"/>
      <c r="F35" s="28"/>
      <c r="G35" s="28"/>
    </row>
    <row r="36" spans="1:7" ht="12.75">
      <c r="A36" s="28"/>
      <c r="B36" s="28"/>
      <c r="C36" s="28"/>
      <c r="D36" s="28"/>
      <c r="E36" s="25"/>
      <c r="F36" s="28"/>
      <c r="G36" s="28"/>
    </row>
    <row r="37" spans="1:7" ht="12.75">
      <c r="A37" s="28" t="s">
        <v>142</v>
      </c>
      <c r="B37" s="28"/>
      <c r="C37" s="28" t="s">
        <v>141</v>
      </c>
      <c r="D37" s="28"/>
      <c r="E37" s="25"/>
      <c r="F37" s="28"/>
      <c r="G37" s="28"/>
    </row>
    <row r="38" spans="1:7" ht="12.75">
      <c r="A38" s="89" t="s">
        <v>145</v>
      </c>
      <c r="B38" s="89"/>
      <c r="C38" s="89" t="s">
        <v>145</v>
      </c>
      <c r="D38" s="89"/>
      <c r="E38" s="244"/>
      <c r="F38" s="89"/>
      <c r="G38" s="89"/>
    </row>
    <row r="39" spans="1:3" ht="12.75">
      <c r="A39" s="61"/>
      <c r="B39" s="8"/>
      <c r="C39" s="8"/>
    </row>
  </sheetData>
  <sheetProtection/>
  <mergeCells count="4">
    <mergeCell ref="A2:C2"/>
    <mergeCell ref="A3:C3"/>
    <mergeCell ref="A1:C1"/>
    <mergeCell ref="A30:C30"/>
  </mergeCells>
  <printOptions/>
  <pageMargins left="0.4724409448818898" right="0.4724409448818898" top="0.4724409448818898" bottom="0.4724409448818898" header="0.5118110236220472" footer="0.5118110236220472"/>
  <pageSetup horizontalDpi="96" verticalDpi="96" orientation="portrait" paperSize="9" r:id="rId1"/>
  <headerFooter alignWithMargins="0">
    <oddFooter>&amp;R7/7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A74"/>
  <sheetViews>
    <sheetView zoomScale="75" zoomScaleNormal="75" zoomScalePageLayoutView="0" workbookViewId="0" topLeftCell="A1">
      <selection activeCell="B26" sqref="B26"/>
    </sheetView>
  </sheetViews>
  <sheetFormatPr defaultColWidth="9.140625" defaultRowHeight="12.75"/>
  <cols>
    <col min="1" max="1" width="3.57421875" style="0" customWidth="1"/>
    <col min="2" max="2" width="30.8515625" style="0" customWidth="1"/>
    <col min="3" max="3" width="7.7109375" style="0" customWidth="1"/>
    <col min="4" max="4" width="6.57421875" style="0" customWidth="1"/>
    <col min="5" max="5" width="6.28125" style="0" customWidth="1"/>
    <col min="6" max="6" width="5.7109375" style="0" customWidth="1"/>
    <col min="7" max="7" width="5.140625" style="0" customWidth="1"/>
    <col min="8" max="8" width="5.00390625" style="0" customWidth="1"/>
    <col min="9" max="9" width="6.8515625" style="0" customWidth="1"/>
    <col min="10" max="11" width="5.57421875" style="0" customWidth="1"/>
    <col min="12" max="12" width="5.421875" style="0" customWidth="1"/>
    <col min="13" max="13" width="3.7109375" style="0" customWidth="1"/>
    <col min="14" max="14" width="3.57421875" style="0" customWidth="1"/>
    <col min="15" max="15" width="4.57421875" style="0" customWidth="1"/>
    <col min="16" max="16" width="7.140625" style="0" customWidth="1"/>
    <col min="17" max="17" width="5.421875" style="0" customWidth="1"/>
    <col min="18" max="18" width="4.421875" style="0" customWidth="1"/>
    <col min="26" max="26" width="8.00390625" style="0" customWidth="1"/>
    <col min="27" max="27" width="8.8515625" style="0" customWidth="1"/>
    <col min="28" max="28" width="7.7109375" style="0" customWidth="1"/>
    <col min="29" max="29" width="8.421875" style="0" customWidth="1"/>
  </cols>
  <sheetData>
    <row r="1" spans="1:18" ht="12.75">
      <c r="A1" s="364" t="s">
        <v>282</v>
      </c>
      <c r="B1" s="82"/>
      <c r="C1" s="82"/>
      <c r="D1" s="364"/>
      <c r="E1" s="365" t="s">
        <v>283</v>
      </c>
      <c r="R1" s="366">
        <v>25</v>
      </c>
    </row>
    <row r="2" spans="1:28" ht="12.75">
      <c r="A2" s="364" t="s">
        <v>284</v>
      </c>
      <c r="B2" s="364"/>
      <c r="C2" s="364"/>
      <c r="D2" s="367"/>
      <c r="E2" s="364" t="s">
        <v>285</v>
      </c>
      <c r="F2" s="364"/>
      <c r="G2" s="364"/>
      <c r="H2" s="364"/>
      <c r="I2" s="364"/>
      <c r="J2" s="367"/>
      <c r="K2" s="364" t="s">
        <v>286</v>
      </c>
      <c r="L2" s="364"/>
      <c r="M2" s="364"/>
      <c r="N2" s="364"/>
      <c r="O2" s="364"/>
      <c r="P2" s="367"/>
      <c r="Q2" s="368"/>
      <c r="R2" s="366"/>
      <c r="Z2" t="s">
        <v>287</v>
      </c>
      <c r="AB2" t="s">
        <v>288</v>
      </c>
    </row>
    <row r="3" spans="4:39" ht="12.75">
      <c r="D3" s="369" t="s">
        <v>289</v>
      </c>
      <c r="E3" s="370">
        <f>I43+I44</f>
        <v>9</v>
      </c>
      <c r="F3" s="370" t="s">
        <v>290</v>
      </c>
      <c r="G3" s="370"/>
      <c r="J3" s="369"/>
      <c r="K3" s="370">
        <f>O43+O44</f>
        <v>8</v>
      </c>
      <c r="L3" s="370" t="s">
        <v>290</v>
      </c>
      <c r="M3" s="370"/>
      <c r="P3" s="369"/>
      <c r="Q3" s="17"/>
      <c r="R3" s="371" t="s">
        <v>291</v>
      </c>
      <c r="S3" t="s">
        <v>292</v>
      </c>
      <c r="U3" t="s">
        <v>82</v>
      </c>
      <c r="V3" t="s">
        <v>112</v>
      </c>
      <c r="W3" t="s">
        <v>88</v>
      </c>
      <c r="X3" t="s">
        <v>85</v>
      </c>
      <c r="Z3" t="s">
        <v>60</v>
      </c>
      <c r="AA3" t="s">
        <v>61</v>
      </c>
      <c r="AB3" t="s">
        <v>60</v>
      </c>
      <c r="AC3" t="s">
        <v>61</v>
      </c>
      <c r="AF3" t="s">
        <v>82</v>
      </c>
      <c r="AG3" t="s">
        <v>112</v>
      </c>
      <c r="AH3" t="s">
        <v>88</v>
      </c>
      <c r="AI3" t="s">
        <v>85</v>
      </c>
      <c r="AK3" t="s">
        <v>12</v>
      </c>
      <c r="AL3" t="s">
        <v>287</v>
      </c>
      <c r="AM3" t="s">
        <v>288</v>
      </c>
    </row>
    <row r="4" spans="1:29" ht="13.5" thickBot="1">
      <c r="A4" s="372" t="s">
        <v>293</v>
      </c>
      <c r="B4" s="372" t="s">
        <v>6</v>
      </c>
      <c r="C4" s="372" t="s">
        <v>294</v>
      </c>
      <c r="D4" s="373" t="s">
        <v>295</v>
      </c>
      <c r="E4" s="372" t="s">
        <v>9</v>
      </c>
      <c r="F4" s="372" t="s">
        <v>10</v>
      </c>
      <c r="G4" s="372" t="s">
        <v>11</v>
      </c>
      <c r="H4" s="372" t="s">
        <v>12</v>
      </c>
      <c r="I4" s="372" t="s">
        <v>296</v>
      </c>
      <c r="J4" s="373" t="s">
        <v>297</v>
      </c>
      <c r="K4" s="372" t="s">
        <v>9</v>
      </c>
      <c r="L4" s="372" t="s">
        <v>10</v>
      </c>
      <c r="M4" s="372" t="s">
        <v>11</v>
      </c>
      <c r="N4" s="372" t="s">
        <v>12</v>
      </c>
      <c r="O4" s="372" t="s">
        <v>296</v>
      </c>
      <c r="P4" s="373" t="s">
        <v>297</v>
      </c>
      <c r="Q4" s="368"/>
      <c r="R4" s="366"/>
      <c r="Z4" t="s">
        <v>298</v>
      </c>
      <c r="AA4" t="s">
        <v>9</v>
      </c>
      <c r="AB4" t="s">
        <v>299</v>
      </c>
      <c r="AC4" t="s">
        <v>9</v>
      </c>
    </row>
    <row r="5" spans="1:39" ht="12.75">
      <c r="A5" s="374">
        <v>1</v>
      </c>
      <c r="B5" s="375" t="s">
        <v>80</v>
      </c>
      <c r="C5" s="376" t="s">
        <v>82</v>
      </c>
      <c r="D5" s="376" t="s">
        <v>300</v>
      </c>
      <c r="E5" s="377">
        <v>2</v>
      </c>
      <c r="F5" s="377">
        <v>2</v>
      </c>
      <c r="G5" s="377"/>
      <c r="H5" s="377"/>
      <c r="I5" s="377" t="s">
        <v>81</v>
      </c>
      <c r="J5" s="377">
        <v>5</v>
      </c>
      <c r="K5" s="377"/>
      <c r="L5" s="376"/>
      <c r="M5" s="376"/>
      <c r="N5" s="376"/>
      <c r="O5" s="376"/>
      <c r="P5" s="376"/>
      <c r="Q5" s="378"/>
      <c r="R5" s="366">
        <f>(J5+P5)*$R$1-S5</f>
        <v>69</v>
      </c>
      <c r="S5">
        <f>SUM(E5:H5)*14+SUM(K5:N5)*14</f>
        <v>56</v>
      </c>
      <c r="U5">
        <f>IF($C5="DF",1,0)*$S5</f>
        <v>56</v>
      </c>
      <c r="V5">
        <f>IF($C5="DD",1,0)*$S5</f>
        <v>0</v>
      </c>
      <c r="W5">
        <f>IF($C5="DS",1,0)*$S5</f>
        <v>0</v>
      </c>
      <c r="X5">
        <f>IF($C5="DC",1,0)*$S5</f>
        <v>0</v>
      </c>
      <c r="Z5">
        <f>IF(I5="E",1,0)</f>
        <v>1</v>
      </c>
      <c r="AA5">
        <f>IF(I5="C",1,0)</f>
        <v>0</v>
      </c>
      <c r="AB5">
        <f>IF(O5="E",1,0)</f>
        <v>0</v>
      </c>
      <c r="AC5">
        <f>IF(O5="C",1,0)</f>
        <v>0</v>
      </c>
      <c r="AE5">
        <f>J5+P5</f>
        <v>5</v>
      </c>
      <c r="AF5">
        <f>IF($C5="DF",1,0)*$AE5</f>
        <v>5</v>
      </c>
      <c r="AG5">
        <f>IF($C5="DD",1,0)*$AE5</f>
        <v>0</v>
      </c>
      <c r="AH5">
        <f>IF($C5="DS",1,0)*$AE5</f>
        <v>0</v>
      </c>
      <c r="AI5">
        <f>IF($C5="DC",1,0)*$AE5</f>
        <v>0</v>
      </c>
      <c r="AK5">
        <f>AL5+AM5</f>
        <v>0</v>
      </c>
      <c r="AL5">
        <f>IF(H5&gt;0,1,0)</f>
        <v>0</v>
      </c>
      <c r="AM5">
        <f>IF(N5&gt;0,1,0)</f>
        <v>0</v>
      </c>
    </row>
    <row r="6" spans="1:39" ht="26.25">
      <c r="A6" s="374">
        <v>2</v>
      </c>
      <c r="B6" s="379" t="s">
        <v>301</v>
      </c>
      <c r="C6" s="376" t="s">
        <v>82</v>
      </c>
      <c r="D6" s="376" t="s">
        <v>300</v>
      </c>
      <c r="E6" s="377">
        <v>2</v>
      </c>
      <c r="F6" s="377">
        <v>2</v>
      </c>
      <c r="G6" s="377"/>
      <c r="H6" s="377"/>
      <c r="I6" s="377" t="s">
        <v>81</v>
      </c>
      <c r="J6" s="377">
        <v>5</v>
      </c>
      <c r="K6" s="377"/>
      <c r="L6" s="376"/>
      <c r="M6" s="376"/>
      <c r="N6" s="376"/>
      <c r="O6" s="376"/>
      <c r="P6" s="376"/>
      <c r="Q6" s="378"/>
      <c r="R6" s="366">
        <f aca="true" t="shared" si="0" ref="R6:R23">(J6+P6)*$R$1-S6</f>
        <v>69</v>
      </c>
      <c r="S6">
        <f aca="true" t="shared" si="1" ref="S6:S23">SUM(E6:H6)*14+SUM(K6:N6)*14</f>
        <v>56</v>
      </c>
      <c r="U6">
        <f aca="true" t="shared" si="2" ref="U6:U23">IF($C6="DF",1,0)*$S6</f>
        <v>56</v>
      </c>
      <c r="V6">
        <f aca="true" t="shared" si="3" ref="V6:V23">IF($C6="DD",1,0)*$S6</f>
        <v>0</v>
      </c>
      <c r="W6">
        <f aca="true" t="shared" si="4" ref="W6:W23">IF($C6="DS",1,0)*$S6</f>
        <v>0</v>
      </c>
      <c r="X6">
        <f aca="true" t="shared" si="5" ref="X6:X23">IF($C6="DC",1,0)*$S6</f>
        <v>0</v>
      </c>
      <c r="Z6">
        <f aca="true" t="shared" si="6" ref="Z6:Z23">IF(I6="E",1,0)</f>
        <v>1</v>
      </c>
      <c r="AA6">
        <f aca="true" t="shared" si="7" ref="AA6:AA23">IF(I6="C",1,0)</f>
        <v>0</v>
      </c>
      <c r="AB6">
        <f aca="true" t="shared" si="8" ref="AB6:AB23">IF(O6="E",1,0)</f>
        <v>0</v>
      </c>
      <c r="AC6">
        <f aca="true" t="shared" si="9" ref="AC6:AC23">IF(O6="C",1,0)</f>
        <v>0</v>
      </c>
      <c r="AE6">
        <f aca="true" t="shared" si="10" ref="AE6:AE23">J6+P6</f>
        <v>5</v>
      </c>
      <c r="AF6">
        <f aca="true" t="shared" si="11" ref="AF6:AF23">IF($C6="DF",1,0)*$AE6</f>
        <v>5</v>
      </c>
      <c r="AG6">
        <f aca="true" t="shared" si="12" ref="AG6:AG23">IF($C6="DD",1,0)*$AE6</f>
        <v>0</v>
      </c>
      <c r="AH6">
        <f aca="true" t="shared" si="13" ref="AH6:AH23">IF($C6="DS",1,0)*$AE6</f>
        <v>0</v>
      </c>
      <c r="AI6">
        <f aca="true" t="shared" si="14" ref="AI6:AI23">IF($C6="DC",1,0)*$AE6</f>
        <v>0</v>
      </c>
      <c r="AK6">
        <f aca="true" t="shared" si="15" ref="AK6:AK23">AL6+AM6</f>
        <v>0</v>
      </c>
      <c r="AL6">
        <f aca="true" t="shared" si="16" ref="AL6:AL23">IF(H6&gt;0,1,0)</f>
        <v>0</v>
      </c>
      <c r="AM6">
        <f aca="true" t="shared" si="17" ref="AM6:AM23">IF(N6&gt;0,1,0)</f>
        <v>0</v>
      </c>
    </row>
    <row r="7" spans="1:39" ht="12.75">
      <c r="A7" s="374">
        <v>3</v>
      </c>
      <c r="B7" s="380" t="s">
        <v>123</v>
      </c>
      <c r="C7" s="376" t="s">
        <v>112</v>
      </c>
      <c r="D7" s="376" t="s">
        <v>300</v>
      </c>
      <c r="E7" s="377">
        <v>2</v>
      </c>
      <c r="F7" s="377"/>
      <c r="G7" s="377">
        <v>1</v>
      </c>
      <c r="H7" s="377"/>
      <c r="I7" s="377" t="s">
        <v>81</v>
      </c>
      <c r="J7" s="377">
        <v>4</v>
      </c>
      <c r="K7" s="377"/>
      <c r="L7" s="376"/>
      <c r="M7" s="376"/>
      <c r="N7" s="376"/>
      <c r="O7" s="381"/>
      <c r="P7" s="376"/>
      <c r="Q7" s="378"/>
      <c r="R7" s="366">
        <f t="shared" si="0"/>
        <v>58</v>
      </c>
      <c r="S7">
        <f t="shared" si="1"/>
        <v>42</v>
      </c>
      <c r="U7">
        <f t="shared" si="2"/>
        <v>0</v>
      </c>
      <c r="V7">
        <f t="shared" si="3"/>
        <v>42</v>
      </c>
      <c r="W7">
        <f t="shared" si="4"/>
        <v>0</v>
      </c>
      <c r="X7">
        <f t="shared" si="5"/>
        <v>0</v>
      </c>
      <c r="Z7">
        <f t="shared" si="6"/>
        <v>1</v>
      </c>
      <c r="AA7">
        <f t="shared" si="7"/>
        <v>0</v>
      </c>
      <c r="AB7">
        <f t="shared" si="8"/>
        <v>0</v>
      </c>
      <c r="AC7">
        <f t="shared" si="9"/>
        <v>0</v>
      </c>
      <c r="AE7">
        <f t="shared" si="10"/>
        <v>4</v>
      </c>
      <c r="AF7">
        <f t="shared" si="11"/>
        <v>0</v>
      </c>
      <c r="AG7">
        <f t="shared" si="12"/>
        <v>4</v>
      </c>
      <c r="AH7">
        <f t="shared" si="13"/>
        <v>0</v>
      </c>
      <c r="AI7">
        <f t="shared" si="14"/>
        <v>0</v>
      </c>
      <c r="AK7">
        <f t="shared" si="15"/>
        <v>0</v>
      </c>
      <c r="AL7">
        <f t="shared" si="16"/>
        <v>0</v>
      </c>
      <c r="AM7">
        <f t="shared" si="17"/>
        <v>0</v>
      </c>
    </row>
    <row r="8" spans="1:39" ht="12.75">
      <c r="A8" s="374">
        <v>4</v>
      </c>
      <c r="B8" s="374" t="s">
        <v>87</v>
      </c>
      <c r="C8" s="376" t="s">
        <v>82</v>
      </c>
      <c r="D8" s="376" t="s">
        <v>300</v>
      </c>
      <c r="E8" s="377">
        <v>2</v>
      </c>
      <c r="F8" s="377"/>
      <c r="G8" s="377">
        <v>1</v>
      </c>
      <c r="H8" s="377"/>
      <c r="I8" s="377" t="s">
        <v>9</v>
      </c>
      <c r="J8" s="377">
        <v>3</v>
      </c>
      <c r="K8" s="377"/>
      <c r="L8" s="376"/>
      <c r="M8" s="376"/>
      <c r="N8" s="376"/>
      <c r="O8" s="376"/>
      <c r="P8" s="376"/>
      <c r="Q8" s="382"/>
      <c r="R8" s="366">
        <f t="shared" si="0"/>
        <v>33</v>
      </c>
      <c r="S8">
        <f t="shared" si="1"/>
        <v>42</v>
      </c>
      <c r="U8">
        <f t="shared" si="2"/>
        <v>42</v>
      </c>
      <c r="V8">
        <f t="shared" si="3"/>
        <v>0</v>
      </c>
      <c r="W8">
        <f t="shared" si="4"/>
        <v>0</v>
      </c>
      <c r="X8">
        <f t="shared" si="5"/>
        <v>0</v>
      </c>
      <c r="Z8">
        <f t="shared" si="6"/>
        <v>0</v>
      </c>
      <c r="AA8">
        <f t="shared" si="7"/>
        <v>1</v>
      </c>
      <c r="AB8">
        <f t="shared" si="8"/>
        <v>0</v>
      </c>
      <c r="AC8">
        <f t="shared" si="9"/>
        <v>0</v>
      </c>
      <c r="AE8">
        <f t="shared" si="10"/>
        <v>3</v>
      </c>
      <c r="AF8">
        <f t="shared" si="11"/>
        <v>3</v>
      </c>
      <c r="AG8">
        <f t="shared" si="12"/>
        <v>0</v>
      </c>
      <c r="AH8">
        <f t="shared" si="13"/>
        <v>0</v>
      </c>
      <c r="AI8">
        <f t="shared" si="14"/>
        <v>0</v>
      </c>
      <c r="AK8">
        <f t="shared" si="15"/>
        <v>0</v>
      </c>
      <c r="AL8">
        <f t="shared" si="16"/>
        <v>0</v>
      </c>
      <c r="AM8">
        <f t="shared" si="17"/>
        <v>0</v>
      </c>
    </row>
    <row r="9" spans="2:39" ht="12.75">
      <c r="B9" s="374" t="s">
        <v>90</v>
      </c>
      <c r="C9" s="376" t="s">
        <v>82</v>
      </c>
      <c r="D9" s="376" t="s">
        <v>300</v>
      </c>
      <c r="E9" s="377">
        <v>2</v>
      </c>
      <c r="F9" s="377"/>
      <c r="G9" s="377">
        <v>2</v>
      </c>
      <c r="H9" s="377"/>
      <c r="I9" s="377" t="s">
        <v>81</v>
      </c>
      <c r="J9" s="377">
        <v>5</v>
      </c>
      <c r="K9" s="377"/>
      <c r="L9" s="376"/>
      <c r="M9" s="376"/>
      <c r="N9" s="376"/>
      <c r="O9" s="376"/>
      <c r="P9" s="376"/>
      <c r="Q9" s="383"/>
      <c r="R9" s="366">
        <f t="shared" si="0"/>
        <v>69</v>
      </c>
      <c r="S9">
        <f t="shared" si="1"/>
        <v>56</v>
      </c>
      <c r="U9">
        <f t="shared" si="2"/>
        <v>56</v>
      </c>
      <c r="V9">
        <f t="shared" si="3"/>
        <v>0</v>
      </c>
      <c r="W9">
        <f t="shared" si="4"/>
        <v>0</v>
      </c>
      <c r="X9">
        <f t="shared" si="5"/>
        <v>0</v>
      </c>
      <c r="Z9">
        <f t="shared" si="6"/>
        <v>1</v>
      </c>
      <c r="AA9">
        <f t="shared" si="7"/>
        <v>0</v>
      </c>
      <c r="AB9">
        <f t="shared" si="8"/>
        <v>0</v>
      </c>
      <c r="AC9">
        <f t="shared" si="9"/>
        <v>0</v>
      </c>
      <c r="AE9">
        <f t="shared" si="10"/>
        <v>5</v>
      </c>
      <c r="AF9">
        <f t="shared" si="11"/>
        <v>5</v>
      </c>
      <c r="AG9">
        <f t="shared" si="12"/>
        <v>0</v>
      </c>
      <c r="AH9">
        <f t="shared" si="13"/>
        <v>0</v>
      </c>
      <c r="AI9">
        <f t="shared" si="14"/>
        <v>0</v>
      </c>
      <c r="AK9">
        <f t="shared" si="15"/>
        <v>0</v>
      </c>
      <c r="AL9">
        <f t="shared" si="16"/>
        <v>0</v>
      </c>
      <c r="AM9">
        <f t="shared" si="17"/>
        <v>0</v>
      </c>
    </row>
    <row r="10" spans="1:39" ht="12.75">
      <c r="A10" s="374">
        <v>6</v>
      </c>
      <c r="B10" s="384" t="s">
        <v>91</v>
      </c>
      <c r="C10" s="376" t="s">
        <v>82</v>
      </c>
      <c r="D10" s="376" t="s">
        <v>300</v>
      </c>
      <c r="E10" s="377">
        <v>1</v>
      </c>
      <c r="F10" s="377"/>
      <c r="G10" s="377">
        <v>2</v>
      </c>
      <c r="H10" s="377"/>
      <c r="I10" s="377" t="s">
        <v>9</v>
      </c>
      <c r="J10" s="377">
        <v>3</v>
      </c>
      <c r="K10" s="377"/>
      <c r="L10" s="376"/>
      <c r="M10" s="376"/>
      <c r="N10" s="376"/>
      <c r="O10" s="376"/>
      <c r="P10" s="376"/>
      <c r="Q10" s="378"/>
      <c r="R10" s="366">
        <f t="shared" si="0"/>
        <v>33</v>
      </c>
      <c r="S10">
        <f t="shared" si="1"/>
        <v>42</v>
      </c>
      <c r="U10">
        <f t="shared" si="2"/>
        <v>42</v>
      </c>
      <c r="V10">
        <f t="shared" si="3"/>
        <v>0</v>
      </c>
      <c r="W10">
        <f t="shared" si="4"/>
        <v>0</v>
      </c>
      <c r="X10">
        <f t="shared" si="5"/>
        <v>0</v>
      </c>
      <c r="Z10">
        <f t="shared" si="6"/>
        <v>0</v>
      </c>
      <c r="AA10">
        <f t="shared" si="7"/>
        <v>1</v>
      </c>
      <c r="AB10">
        <f t="shared" si="8"/>
        <v>0</v>
      </c>
      <c r="AC10">
        <f t="shared" si="9"/>
        <v>0</v>
      </c>
      <c r="AE10">
        <f t="shared" si="10"/>
        <v>3</v>
      </c>
      <c r="AF10">
        <f t="shared" si="11"/>
        <v>3</v>
      </c>
      <c r="AG10">
        <f t="shared" si="12"/>
        <v>0</v>
      </c>
      <c r="AH10">
        <f t="shared" si="13"/>
        <v>0</v>
      </c>
      <c r="AI10">
        <f t="shared" si="14"/>
        <v>0</v>
      </c>
      <c r="AK10">
        <f t="shared" si="15"/>
        <v>0</v>
      </c>
      <c r="AL10">
        <f t="shared" si="16"/>
        <v>0</v>
      </c>
      <c r="AM10">
        <f t="shared" si="17"/>
        <v>0</v>
      </c>
    </row>
    <row r="11" spans="1:39" ht="12.75">
      <c r="A11" s="374">
        <v>7</v>
      </c>
      <c r="B11" s="374" t="s">
        <v>130</v>
      </c>
      <c r="C11" s="376" t="s">
        <v>85</v>
      </c>
      <c r="D11" s="376" t="s">
        <v>300</v>
      </c>
      <c r="E11" s="377">
        <v>2</v>
      </c>
      <c r="F11" s="377"/>
      <c r="G11" s="377"/>
      <c r="H11" s="377"/>
      <c r="I11" s="377" t="s">
        <v>81</v>
      </c>
      <c r="J11" s="377">
        <v>2</v>
      </c>
      <c r="K11" s="377"/>
      <c r="L11" s="376"/>
      <c r="M11" s="376"/>
      <c r="N11" s="376"/>
      <c r="O11" s="376"/>
      <c r="P11" s="376"/>
      <c r="Q11" s="378"/>
      <c r="R11" s="366">
        <f t="shared" si="0"/>
        <v>22</v>
      </c>
      <c r="S11">
        <f t="shared" si="1"/>
        <v>28</v>
      </c>
      <c r="U11">
        <f t="shared" si="2"/>
        <v>0</v>
      </c>
      <c r="V11">
        <f t="shared" si="3"/>
        <v>0</v>
      </c>
      <c r="W11">
        <f t="shared" si="4"/>
        <v>0</v>
      </c>
      <c r="X11">
        <f t="shared" si="5"/>
        <v>28</v>
      </c>
      <c r="Z11">
        <f t="shared" si="6"/>
        <v>1</v>
      </c>
      <c r="AA11">
        <f t="shared" si="7"/>
        <v>0</v>
      </c>
      <c r="AB11">
        <f t="shared" si="8"/>
        <v>0</v>
      </c>
      <c r="AC11">
        <f t="shared" si="9"/>
        <v>0</v>
      </c>
      <c r="AE11">
        <f t="shared" si="10"/>
        <v>2</v>
      </c>
      <c r="AF11">
        <f t="shared" si="11"/>
        <v>0</v>
      </c>
      <c r="AG11">
        <f t="shared" si="12"/>
        <v>0</v>
      </c>
      <c r="AH11">
        <f t="shared" si="13"/>
        <v>0</v>
      </c>
      <c r="AI11">
        <f t="shared" si="14"/>
        <v>2</v>
      </c>
      <c r="AK11">
        <f t="shared" si="15"/>
        <v>0</v>
      </c>
      <c r="AL11">
        <f t="shared" si="16"/>
        <v>0</v>
      </c>
      <c r="AM11">
        <f t="shared" si="17"/>
        <v>0</v>
      </c>
    </row>
    <row r="12" spans="1:39" ht="12.75">
      <c r="A12" s="374">
        <v>8</v>
      </c>
      <c r="B12" s="379" t="s">
        <v>92</v>
      </c>
      <c r="C12" s="376" t="s">
        <v>85</v>
      </c>
      <c r="D12" s="376" t="s">
        <v>300</v>
      </c>
      <c r="E12" s="377"/>
      <c r="F12" s="377">
        <v>1</v>
      </c>
      <c r="G12" s="377"/>
      <c r="H12" s="377"/>
      <c r="I12" s="377" t="s">
        <v>9</v>
      </c>
      <c r="J12" s="377">
        <v>1</v>
      </c>
      <c r="K12" s="377"/>
      <c r="L12" s="376"/>
      <c r="M12" s="376"/>
      <c r="N12" s="376"/>
      <c r="O12" s="376"/>
      <c r="P12" s="376"/>
      <c r="Q12" s="378"/>
      <c r="R12" s="366">
        <f t="shared" si="0"/>
        <v>11</v>
      </c>
      <c r="S12">
        <f t="shared" si="1"/>
        <v>14</v>
      </c>
      <c r="U12">
        <f t="shared" si="2"/>
        <v>0</v>
      </c>
      <c r="V12">
        <f t="shared" si="3"/>
        <v>0</v>
      </c>
      <c r="W12">
        <f t="shared" si="4"/>
        <v>0</v>
      </c>
      <c r="X12">
        <f t="shared" si="5"/>
        <v>14</v>
      </c>
      <c r="Z12">
        <f t="shared" si="6"/>
        <v>0</v>
      </c>
      <c r="AA12">
        <f t="shared" si="7"/>
        <v>1</v>
      </c>
      <c r="AB12">
        <f t="shared" si="8"/>
        <v>0</v>
      </c>
      <c r="AC12">
        <f t="shared" si="9"/>
        <v>0</v>
      </c>
      <c r="AE12">
        <f t="shared" si="10"/>
        <v>1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1</v>
      </c>
      <c r="AK12">
        <f t="shared" si="15"/>
        <v>0</v>
      </c>
      <c r="AL12">
        <f t="shared" si="16"/>
        <v>0</v>
      </c>
      <c r="AM12">
        <f t="shared" si="17"/>
        <v>0</v>
      </c>
    </row>
    <row r="13" spans="1:39" ht="12.75">
      <c r="A13" s="374">
        <v>9</v>
      </c>
      <c r="B13" s="380" t="s">
        <v>266</v>
      </c>
      <c r="C13" s="376" t="s">
        <v>85</v>
      </c>
      <c r="D13" s="376" t="s">
        <v>300</v>
      </c>
      <c r="E13" s="377"/>
      <c r="F13" s="377">
        <v>2</v>
      </c>
      <c r="G13" s="377"/>
      <c r="H13" s="377"/>
      <c r="I13" s="377" t="s">
        <v>9</v>
      </c>
      <c r="J13" s="377">
        <v>2</v>
      </c>
      <c r="K13" s="377"/>
      <c r="L13" s="376"/>
      <c r="M13" s="376"/>
      <c r="N13" s="376"/>
      <c r="O13" s="376"/>
      <c r="P13" s="376"/>
      <c r="Q13" s="378"/>
      <c r="R13" s="366">
        <f t="shared" si="0"/>
        <v>22</v>
      </c>
      <c r="S13">
        <f t="shared" si="1"/>
        <v>28</v>
      </c>
      <c r="U13">
        <f t="shared" si="2"/>
        <v>0</v>
      </c>
      <c r="V13">
        <f t="shared" si="3"/>
        <v>0</v>
      </c>
      <c r="W13">
        <f t="shared" si="4"/>
        <v>0</v>
      </c>
      <c r="X13">
        <f t="shared" si="5"/>
        <v>28</v>
      </c>
      <c r="Z13">
        <f t="shared" si="6"/>
        <v>0</v>
      </c>
      <c r="AA13">
        <f t="shared" si="7"/>
        <v>1</v>
      </c>
      <c r="AB13">
        <f t="shared" si="8"/>
        <v>0</v>
      </c>
      <c r="AC13">
        <f t="shared" si="9"/>
        <v>0</v>
      </c>
      <c r="AE13">
        <f t="shared" si="10"/>
        <v>2</v>
      </c>
      <c r="AF13">
        <f t="shared" si="11"/>
        <v>0</v>
      </c>
      <c r="AG13">
        <f t="shared" si="12"/>
        <v>0</v>
      </c>
      <c r="AH13">
        <f t="shared" si="13"/>
        <v>0</v>
      </c>
      <c r="AI13">
        <f t="shared" si="14"/>
        <v>2</v>
      </c>
      <c r="AK13">
        <f t="shared" si="15"/>
        <v>0</v>
      </c>
      <c r="AL13">
        <f t="shared" si="16"/>
        <v>0</v>
      </c>
      <c r="AM13">
        <f t="shared" si="17"/>
        <v>0</v>
      </c>
    </row>
    <row r="14" spans="1:39" ht="12.75">
      <c r="A14" s="374">
        <v>10</v>
      </c>
      <c r="B14" s="374" t="s">
        <v>131</v>
      </c>
      <c r="C14" s="376" t="s">
        <v>112</v>
      </c>
      <c r="D14" s="376" t="s">
        <v>300</v>
      </c>
      <c r="E14" s="377"/>
      <c r="F14" s="377"/>
      <c r="G14" s="377"/>
      <c r="H14" s="377"/>
      <c r="I14" s="377"/>
      <c r="J14" s="377"/>
      <c r="K14" s="377">
        <v>2</v>
      </c>
      <c r="L14" s="376">
        <v>1</v>
      </c>
      <c r="M14" s="376">
        <v>1</v>
      </c>
      <c r="N14" s="376"/>
      <c r="O14" s="376" t="s">
        <v>81</v>
      </c>
      <c r="P14" s="376">
        <v>5</v>
      </c>
      <c r="Q14" s="378"/>
      <c r="R14" s="366">
        <f t="shared" si="0"/>
        <v>69</v>
      </c>
      <c r="S14">
        <f t="shared" si="1"/>
        <v>56</v>
      </c>
      <c r="U14">
        <f t="shared" si="2"/>
        <v>0</v>
      </c>
      <c r="V14">
        <f t="shared" si="3"/>
        <v>56</v>
      </c>
      <c r="W14">
        <f t="shared" si="4"/>
        <v>0</v>
      </c>
      <c r="X14">
        <f t="shared" si="5"/>
        <v>0</v>
      </c>
      <c r="Z14">
        <f t="shared" si="6"/>
        <v>0</v>
      </c>
      <c r="AA14">
        <f t="shared" si="7"/>
        <v>0</v>
      </c>
      <c r="AB14">
        <f t="shared" si="8"/>
        <v>1</v>
      </c>
      <c r="AC14">
        <f t="shared" si="9"/>
        <v>0</v>
      </c>
      <c r="AE14">
        <f t="shared" si="10"/>
        <v>5</v>
      </c>
      <c r="AF14">
        <f t="shared" si="11"/>
        <v>0</v>
      </c>
      <c r="AG14">
        <f t="shared" si="12"/>
        <v>5</v>
      </c>
      <c r="AH14">
        <f t="shared" si="13"/>
        <v>0</v>
      </c>
      <c r="AI14">
        <f t="shared" si="14"/>
        <v>0</v>
      </c>
      <c r="AK14">
        <f t="shared" si="15"/>
        <v>0</v>
      </c>
      <c r="AL14">
        <f t="shared" si="16"/>
        <v>0</v>
      </c>
      <c r="AM14">
        <f t="shared" si="17"/>
        <v>0</v>
      </c>
    </row>
    <row r="15" spans="1:39" ht="12.75">
      <c r="A15" s="374">
        <v>11</v>
      </c>
      <c r="B15" s="380" t="s">
        <v>124</v>
      </c>
      <c r="C15" s="376" t="s">
        <v>112</v>
      </c>
      <c r="D15" s="376" t="s">
        <v>300</v>
      </c>
      <c r="E15" s="377"/>
      <c r="F15" s="377"/>
      <c r="G15" s="377"/>
      <c r="H15" s="377"/>
      <c r="I15" s="377"/>
      <c r="J15" s="377"/>
      <c r="K15" s="377">
        <v>2</v>
      </c>
      <c r="L15" s="376"/>
      <c r="M15" s="376">
        <v>2</v>
      </c>
      <c r="N15" s="376"/>
      <c r="O15" s="376" t="s">
        <v>81</v>
      </c>
      <c r="P15" s="376">
        <v>5</v>
      </c>
      <c r="Q15" s="378"/>
      <c r="R15" s="366">
        <f t="shared" si="0"/>
        <v>69</v>
      </c>
      <c r="S15">
        <f t="shared" si="1"/>
        <v>56</v>
      </c>
      <c r="U15">
        <f t="shared" si="2"/>
        <v>0</v>
      </c>
      <c r="V15">
        <f t="shared" si="3"/>
        <v>56</v>
      </c>
      <c r="W15">
        <f t="shared" si="4"/>
        <v>0</v>
      </c>
      <c r="X15">
        <f t="shared" si="5"/>
        <v>0</v>
      </c>
      <c r="Z15">
        <f t="shared" si="6"/>
        <v>0</v>
      </c>
      <c r="AA15">
        <f t="shared" si="7"/>
        <v>0</v>
      </c>
      <c r="AB15">
        <f t="shared" si="8"/>
        <v>1</v>
      </c>
      <c r="AC15">
        <f t="shared" si="9"/>
        <v>0</v>
      </c>
      <c r="AE15">
        <f t="shared" si="10"/>
        <v>5</v>
      </c>
      <c r="AF15">
        <f t="shared" si="11"/>
        <v>0</v>
      </c>
      <c r="AG15">
        <f t="shared" si="12"/>
        <v>5</v>
      </c>
      <c r="AH15">
        <f t="shared" si="13"/>
        <v>0</v>
      </c>
      <c r="AI15">
        <f t="shared" si="14"/>
        <v>0</v>
      </c>
      <c r="AK15">
        <f t="shared" si="15"/>
        <v>0</v>
      </c>
      <c r="AL15">
        <f t="shared" si="16"/>
        <v>0</v>
      </c>
      <c r="AM15">
        <f t="shared" si="17"/>
        <v>0</v>
      </c>
    </row>
    <row r="16" spans="1:39" ht="12.75">
      <c r="A16" s="374">
        <v>12</v>
      </c>
      <c r="B16" s="384" t="s">
        <v>94</v>
      </c>
      <c r="C16" s="376" t="s">
        <v>82</v>
      </c>
      <c r="D16" s="376" t="s">
        <v>300</v>
      </c>
      <c r="E16" s="377"/>
      <c r="F16" s="377"/>
      <c r="G16" s="377"/>
      <c r="H16" s="377"/>
      <c r="I16" s="377"/>
      <c r="J16" s="377"/>
      <c r="K16" s="377">
        <v>2</v>
      </c>
      <c r="L16" s="377">
        <v>1</v>
      </c>
      <c r="M16" s="377">
        <v>1</v>
      </c>
      <c r="N16" s="377"/>
      <c r="O16" s="377" t="s">
        <v>81</v>
      </c>
      <c r="P16" s="377">
        <v>5</v>
      </c>
      <c r="Q16" s="378"/>
      <c r="R16" s="366">
        <f t="shared" si="0"/>
        <v>69</v>
      </c>
      <c r="S16">
        <f t="shared" si="1"/>
        <v>56</v>
      </c>
      <c r="U16">
        <f t="shared" si="2"/>
        <v>56</v>
      </c>
      <c r="V16">
        <f t="shared" si="3"/>
        <v>0</v>
      </c>
      <c r="W16">
        <f t="shared" si="4"/>
        <v>0</v>
      </c>
      <c r="X16">
        <f t="shared" si="5"/>
        <v>0</v>
      </c>
      <c r="Z16">
        <f t="shared" si="6"/>
        <v>0</v>
      </c>
      <c r="AA16">
        <f t="shared" si="7"/>
        <v>0</v>
      </c>
      <c r="AB16">
        <f t="shared" si="8"/>
        <v>1</v>
      </c>
      <c r="AC16">
        <f t="shared" si="9"/>
        <v>0</v>
      </c>
      <c r="AE16">
        <f t="shared" si="10"/>
        <v>5</v>
      </c>
      <c r="AF16">
        <f t="shared" si="11"/>
        <v>5</v>
      </c>
      <c r="AG16">
        <f t="shared" si="12"/>
        <v>0</v>
      </c>
      <c r="AH16">
        <f t="shared" si="13"/>
        <v>0</v>
      </c>
      <c r="AI16">
        <f t="shared" si="14"/>
        <v>0</v>
      </c>
      <c r="AK16">
        <f t="shared" si="15"/>
        <v>0</v>
      </c>
      <c r="AL16">
        <f t="shared" si="16"/>
        <v>0</v>
      </c>
      <c r="AM16">
        <f t="shared" si="17"/>
        <v>0</v>
      </c>
    </row>
    <row r="17" spans="1:39" ht="12.75">
      <c r="A17" s="374">
        <v>13</v>
      </c>
      <c r="B17" s="384" t="s">
        <v>95</v>
      </c>
      <c r="C17" s="376" t="s">
        <v>82</v>
      </c>
      <c r="D17" s="376" t="s">
        <v>300</v>
      </c>
      <c r="E17" s="377"/>
      <c r="F17" s="377"/>
      <c r="G17" s="377"/>
      <c r="H17" s="377"/>
      <c r="I17" s="377"/>
      <c r="J17" s="377"/>
      <c r="K17" s="377">
        <v>2</v>
      </c>
      <c r="L17" s="377"/>
      <c r="M17" s="377">
        <v>2</v>
      </c>
      <c r="N17" s="377"/>
      <c r="O17" s="377" t="s">
        <v>81</v>
      </c>
      <c r="P17" s="377">
        <v>5</v>
      </c>
      <c r="Q17" s="378"/>
      <c r="R17" s="366">
        <f t="shared" si="0"/>
        <v>69</v>
      </c>
      <c r="S17">
        <f t="shared" si="1"/>
        <v>56</v>
      </c>
      <c r="U17">
        <f t="shared" si="2"/>
        <v>56</v>
      </c>
      <c r="V17">
        <f t="shared" si="3"/>
        <v>0</v>
      </c>
      <c r="W17">
        <f t="shared" si="4"/>
        <v>0</v>
      </c>
      <c r="X17">
        <f t="shared" si="5"/>
        <v>0</v>
      </c>
      <c r="Z17">
        <f t="shared" si="6"/>
        <v>0</v>
      </c>
      <c r="AA17">
        <f t="shared" si="7"/>
        <v>0</v>
      </c>
      <c r="AB17">
        <f t="shared" si="8"/>
        <v>1</v>
      </c>
      <c r="AC17">
        <f t="shared" si="9"/>
        <v>0</v>
      </c>
      <c r="AE17">
        <f t="shared" si="10"/>
        <v>5</v>
      </c>
      <c r="AF17">
        <f t="shared" si="11"/>
        <v>5</v>
      </c>
      <c r="AG17">
        <f t="shared" si="12"/>
        <v>0</v>
      </c>
      <c r="AH17">
        <f t="shared" si="13"/>
        <v>0</v>
      </c>
      <c r="AI17">
        <f t="shared" si="14"/>
        <v>0</v>
      </c>
      <c r="AK17">
        <f t="shared" si="15"/>
        <v>0</v>
      </c>
      <c r="AL17">
        <f t="shared" si="16"/>
        <v>0</v>
      </c>
      <c r="AM17">
        <f t="shared" si="17"/>
        <v>0</v>
      </c>
    </row>
    <row r="18" spans="1:39" ht="12.75">
      <c r="A18" s="374">
        <v>14</v>
      </c>
      <c r="B18" s="384" t="s">
        <v>96</v>
      </c>
      <c r="C18" s="376" t="s">
        <v>85</v>
      </c>
      <c r="D18" s="376" t="s">
        <v>300</v>
      </c>
      <c r="E18" s="377"/>
      <c r="F18" s="377"/>
      <c r="G18" s="377"/>
      <c r="H18" s="377"/>
      <c r="I18" s="377"/>
      <c r="J18" s="377"/>
      <c r="K18" s="377"/>
      <c r="L18" s="377">
        <v>2</v>
      </c>
      <c r="M18" s="377"/>
      <c r="N18" s="377"/>
      <c r="O18" s="377" t="s">
        <v>9</v>
      </c>
      <c r="P18" s="377">
        <v>2</v>
      </c>
      <c r="Q18" s="378"/>
      <c r="R18" s="366">
        <f t="shared" si="0"/>
        <v>22</v>
      </c>
      <c r="S18">
        <f t="shared" si="1"/>
        <v>28</v>
      </c>
      <c r="U18">
        <f t="shared" si="2"/>
        <v>0</v>
      </c>
      <c r="V18">
        <f t="shared" si="3"/>
        <v>0</v>
      </c>
      <c r="W18">
        <f t="shared" si="4"/>
        <v>0</v>
      </c>
      <c r="X18">
        <f t="shared" si="5"/>
        <v>28</v>
      </c>
      <c r="Z18">
        <f t="shared" si="6"/>
        <v>0</v>
      </c>
      <c r="AA18">
        <f t="shared" si="7"/>
        <v>0</v>
      </c>
      <c r="AB18">
        <f t="shared" si="8"/>
        <v>0</v>
      </c>
      <c r="AC18">
        <f t="shared" si="9"/>
        <v>1</v>
      </c>
      <c r="AE18">
        <f t="shared" si="10"/>
        <v>2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2</v>
      </c>
      <c r="AK18">
        <f t="shared" si="15"/>
        <v>0</v>
      </c>
      <c r="AL18">
        <f t="shared" si="16"/>
        <v>0</v>
      </c>
      <c r="AM18">
        <f t="shared" si="17"/>
        <v>0</v>
      </c>
    </row>
    <row r="19" spans="1:39" ht="12.75">
      <c r="A19" s="374">
        <v>15</v>
      </c>
      <c r="B19" s="385" t="s">
        <v>132</v>
      </c>
      <c r="C19" s="376" t="s">
        <v>82</v>
      </c>
      <c r="D19" s="376" t="s">
        <v>300</v>
      </c>
      <c r="E19" s="377"/>
      <c r="F19" s="377"/>
      <c r="G19" s="377"/>
      <c r="H19" s="377"/>
      <c r="I19" s="377"/>
      <c r="J19" s="377"/>
      <c r="K19" s="377">
        <v>2</v>
      </c>
      <c r="L19" s="377"/>
      <c r="M19" s="377">
        <v>3</v>
      </c>
      <c r="N19" s="377"/>
      <c r="O19" s="377" t="s">
        <v>9</v>
      </c>
      <c r="P19" s="377">
        <v>5</v>
      </c>
      <c r="Q19" s="75"/>
      <c r="R19" s="366">
        <f t="shared" si="0"/>
        <v>55</v>
      </c>
      <c r="S19">
        <f t="shared" si="1"/>
        <v>70</v>
      </c>
      <c r="U19">
        <f t="shared" si="2"/>
        <v>70</v>
      </c>
      <c r="V19">
        <f t="shared" si="3"/>
        <v>0</v>
      </c>
      <c r="W19">
        <f t="shared" si="4"/>
        <v>0</v>
      </c>
      <c r="X19">
        <f t="shared" si="5"/>
        <v>0</v>
      </c>
      <c r="Z19">
        <f t="shared" si="6"/>
        <v>0</v>
      </c>
      <c r="AA19">
        <f t="shared" si="7"/>
        <v>0</v>
      </c>
      <c r="AB19">
        <f t="shared" si="8"/>
        <v>0</v>
      </c>
      <c r="AC19">
        <f t="shared" si="9"/>
        <v>1</v>
      </c>
      <c r="AE19">
        <f t="shared" si="10"/>
        <v>5</v>
      </c>
      <c r="AF19">
        <f t="shared" si="11"/>
        <v>5</v>
      </c>
      <c r="AG19">
        <f t="shared" si="12"/>
        <v>0</v>
      </c>
      <c r="AH19">
        <f t="shared" si="13"/>
        <v>0</v>
      </c>
      <c r="AI19">
        <f t="shared" si="14"/>
        <v>0</v>
      </c>
      <c r="AK19">
        <f t="shared" si="15"/>
        <v>0</v>
      </c>
      <c r="AL19">
        <f t="shared" si="16"/>
        <v>0</v>
      </c>
      <c r="AM19">
        <f t="shared" si="17"/>
        <v>0</v>
      </c>
    </row>
    <row r="20" spans="1:39" ht="12.75">
      <c r="A20" s="374">
        <v>16</v>
      </c>
      <c r="B20" s="384" t="s">
        <v>97</v>
      </c>
      <c r="C20" s="376" t="s">
        <v>85</v>
      </c>
      <c r="D20" s="376" t="s">
        <v>300</v>
      </c>
      <c r="E20" s="377"/>
      <c r="F20" s="377"/>
      <c r="G20" s="377"/>
      <c r="H20" s="377"/>
      <c r="I20" s="377"/>
      <c r="J20" s="377"/>
      <c r="K20" s="377"/>
      <c r="L20" s="377">
        <v>1</v>
      </c>
      <c r="M20" s="377"/>
      <c r="N20" s="377"/>
      <c r="O20" s="377" t="s">
        <v>9</v>
      </c>
      <c r="P20" s="377">
        <v>1</v>
      </c>
      <c r="Q20" s="378"/>
      <c r="R20" s="366">
        <f t="shared" si="0"/>
        <v>11</v>
      </c>
      <c r="S20">
        <f t="shared" si="1"/>
        <v>14</v>
      </c>
      <c r="U20">
        <f t="shared" si="2"/>
        <v>0</v>
      </c>
      <c r="V20">
        <f t="shared" si="3"/>
        <v>0</v>
      </c>
      <c r="W20">
        <f t="shared" si="4"/>
        <v>0</v>
      </c>
      <c r="X20">
        <f t="shared" si="5"/>
        <v>14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1</v>
      </c>
      <c r="AE20">
        <f t="shared" si="10"/>
        <v>1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1</v>
      </c>
      <c r="AK20">
        <f t="shared" si="15"/>
        <v>0</v>
      </c>
      <c r="AL20">
        <f t="shared" si="16"/>
        <v>0</v>
      </c>
      <c r="AM20">
        <f t="shared" si="17"/>
        <v>0</v>
      </c>
    </row>
    <row r="21" spans="1:39" ht="12.75">
      <c r="A21" s="374">
        <v>17</v>
      </c>
      <c r="B21" s="379" t="s">
        <v>302</v>
      </c>
      <c r="C21" s="376" t="s">
        <v>85</v>
      </c>
      <c r="D21" s="376" t="s">
        <v>300</v>
      </c>
      <c r="E21" s="377"/>
      <c r="F21" s="377"/>
      <c r="G21" s="377"/>
      <c r="H21" s="377"/>
      <c r="I21" s="377"/>
      <c r="J21" s="377"/>
      <c r="K21" s="377"/>
      <c r="L21" s="377">
        <v>2</v>
      </c>
      <c r="M21" s="377"/>
      <c r="N21" s="377"/>
      <c r="O21" s="377" t="s">
        <v>9</v>
      </c>
      <c r="P21" s="377">
        <v>2</v>
      </c>
      <c r="Q21" s="378"/>
      <c r="R21" s="366">
        <f t="shared" si="0"/>
        <v>22</v>
      </c>
      <c r="S21">
        <f t="shared" si="1"/>
        <v>28</v>
      </c>
      <c r="U21">
        <f t="shared" si="2"/>
        <v>0</v>
      </c>
      <c r="V21">
        <f t="shared" si="3"/>
        <v>0</v>
      </c>
      <c r="W21">
        <f t="shared" si="4"/>
        <v>0</v>
      </c>
      <c r="X21">
        <f t="shared" si="5"/>
        <v>28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1</v>
      </c>
      <c r="AE21">
        <f t="shared" si="10"/>
        <v>2</v>
      </c>
      <c r="AF21">
        <f t="shared" si="11"/>
        <v>0</v>
      </c>
      <c r="AG21">
        <f t="shared" si="12"/>
        <v>0</v>
      </c>
      <c r="AH21">
        <f t="shared" si="13"/>
        <v>0</v>
      </c>
      <c r="AI21">
        <f t="shared" si="14"/>
        <v>2</v>
      </c>
      <c r="AK21">
        <f t="shared" si="15"/>
        <v>0</v>
      </c>
      <c r="AL21">
        <f t="shared" si="16"/>
        <v>0</v>
      </c>
      <c r="AM21">
        <f t="shared" si="17"/>
        <v>0</v>
      </c>
    </row>
    <row r="22" spans="1:39" ht="12.75">
      <c r="A22" s="374">
        <v>19</v>
      </c>
      <c r="B22" s="384"/>
      <c r="C22" s="376"/>
      <c r="D22" s="376"/>
      <c r="E22" s="377"/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75"/>
      <c r="R22" s="366">
        <f t="shared" si="0"/>
        <v>0</v>
      </c>
      <c r="S22">
        <f t="shared" si="1"/>
        <v>0</v>
      </c>
      <c r="U22">
        <f t="shared" si="2"/>
        <v>0</v>
      </c>
      <c r="V22">
        <f t="shared" si="3"/>
        <v>0</v>
      </c>
      <c r="W22">
        <f t="shared" si="4"/>
        <v>0</v>
      </c>
      <c r="X22">
        <f t="shared" si="5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K22">
        <f t="shared" si="15"/>
        <v>0</v>
      </c>
      <c r="AL22">
        <f t="shared" si="16"/>
        <v>0</v>
      </c>
      <c r="AM22">
        <f t="shared" si="17"/>
        <v>0</v>
      </c>
    </row>
    <row r="23" spans="1:39" ht="12.75">
      <c r="A23" s="374">
        <v>20</v>
      </c>
      <c r="B23" s="384" t="s">
        <v>303</v>
      </c>
      <c r="C23" s="376" t="s">
        <v>303</v>
      </c>
      <c r="D23" s="386"/>
      <c r="E23" s="377"/>
      <c r="F23" s="377"/>
      <c r="G23" s="377"/>
      <c r="H23" s="377"/>
      <c r="I23" s="377"/>
      <c r="J23" s="377"/>
      <c r="K23" s="377"/>
      <c r="L23" s="386"/>
      <c r="M23" s="386"/>
      <c r="N23" s="386"/>
      <c r="O23" s="386"/>
      <c r="P23" s="386"/>
      <c r="Q23" s="75"/>
      <c r="R23" s="366">
        <f t="shared" si="0"/>
        <v>0</v>
      </c>
      <c r="S23">
        <f t="shared" si="1"/>
        <v>0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K23">
        <f t="shared" si="15"/>
        <v>0</v>
      </c>
      <c r="AL23">
        <f t="shared" si="16"/>
        <v>0</v>
      </c>
      <c r="AM23">
        <f t="shared" si="17"/>
        <v>0</v>
      </c>
    </row>
    <row r="24" spans="1:18" ht="12.75">
      <c r="A24" s="82"/>
      <c r="B24" s="387" t="s">
        <v>304</v>
      </c>
      <c r="D24" s="369"/>
      <c r="E24">
        <f>SUM(E5:E23)</f>
        <v>13</v>
      </c>
      <c r="F24">
        <f>SUM(F5:F23)</f>
        <v>7</v>
      </c>
      <c r="G24">
        <f>SUM(G5:G23)</f>
        <v>6</v>
      </c>
      <c r="H24">
        <f>SUM(H5:H23)</f>
        <v>0</v>
      </c>
      <c r="I24" s="388">
        <f>Z25</f>
        <v>5</v>
      </c>
      <c r="J24" s="369">
        <f>SUM(J5:J23)</f>
        <v>30</v>
      </c>
      <c r="K24">
        <f>SUM(K5:K23)</f>
        <v>10</v>
      </c>
      <c r="L24">
        <f>SUM(L5:L23)</f>
        <v>7</v>
      </c>
      <c r="M24">
        <f>SUM(M5:M23)</f>
        <v>9</v>
      </c>
      <c r="N24">
        <f>SUM(N5:N23)</f>
        <v>0</v>
      </c>
      <c r="O24" s="388">
        <f>AB25</f>
        <v>4</v>
      </c>
      <c r="P24" s="369">
        <f>SUM(P5:P23)</f>
        <v>30</v>
      </c>
      <c r="Q24" s="17"/>
      <c r="R24" s="366"/>
    </row>
    <row r="25" spans="1:29" ht="12.75">
      <c r="A25" s="82"/>
      <c r="B25" s="387"/>
      <c r="D25" s="369"/>
      <c r="E25">
        <f>E24+F24+G24+H24</f>
        <v>26</v>
      </c>
      <c r="I25" s="388">
        <f>AA25</f>
        <v>4</v>
      </c>
      <c r="J25" s="369"/>
      <c r="K25">
        <f>K24+L24+M24+N24</f>
        <v>26</v>
      </c>
      <c r="O25" s="388">
        <f>AC25</f>
        <v>4</v>
      </c>
      <c r="P25" s="369"/>
      <c r="Q25" s="17"/>
      <c r="R25" s="366">
        <f>SUM(R5:R23)</f>
        <v>772</v>
      </c>
      <c r="S25">
        <f>SUM(S5:S23)</f>
        <v>728</v>
      </c>
      <c r="Z25">
        <f>SUM(Z5:Z23)</f>
        <v>5</v>
      </c>
      <c r="AA25">
        <f>SUM(AA5:AA23)</f>
        <v>4</v>
      </c>
      <c r="AB25">
        <f>SUM(AB5:AB23)</f>
        <v>4</v>
      </c>
      <c r="AC25">
        <f>SUM(AC5:AC23)</f>
        <v>4</v>
      </c>
    </row>
    <row r="26" spans="1:18" ht="12.75">
      <c r="A26" s="82"/>
      <c r="B26" s="387"/>
      <c r="D26" s="17"/>
      <c r="I26" s="389" t="s">
        <v>305</v>
      </c>
      <c r="J26" s="17"/>
      <c r="O26" s="389" t="s">
        <v>305</v>
      </c>
      <c r="P26" s="17"/>
      <c r="Q26" s="17"/>
      <c r="R26" s="366"/>
    </row>
    <row r="27" spans="1:18" ht="12.75">
      <c r="A27" s="82"/>
      <c r="R27" s="366"/>
    </row>
    <row r="28" spans="1:18" ht="12.75">
      <c r="A28" s="390" t="s">
        <v>293</v>
      </c>
      <c r="B28" s="372" t="s">
        <v>13</v>
      </c>
      <c r="C28" s="372" t="s">
        <v>294</v>
      </c>
      <c r="D28" s="373" t="s">
        <v>295</v>
      </c>
      <c r="E28" s="372" t="s">
        <v>9</v>
      </c>
      <c r="F28" s="372" t="s">
        <v>10</v>
      </c>
      <c r="G28" s="372" t="s">
        <v>11</v>
      </c>
      <c r="H28" s="372" t="s">
        <v>12</v>
      </c>
      <c r="I28" s="372" t="s">
        <v>296</v>
      </c>
      <c r="J28" s="373" t="s">
        <v>297</v>
      </c>
      <c r="K28" s="372" t="s">
        <v>9</v>
      </c>
      <c r="L28" s="372" t="s">
        <v>10</v>
      </c>
      <c r="M28" s="372" t="s">
        <v>11</v>
      </c>
      <c r="N28" s="372" t="s">
        <v>12</v>
      </c>
      <c r="O28" s="372" t="s">
        <v>296</v>
      </c>
      <c r="P28" s="373" t="s">
        <v>297</v>
      </c>
      <c r="Q28" s="368"/>
      <c r="R28" s="366"/>
    </row>
    <row r="29" spans="1:39" ht="12.75">
      <c r="A29" s="374">
        <v>1</v>
      </c>
      <c r="B29" s="380"/>
      <c r="C29" s="376"/>
      <c r="D29" s="374"/>
      <c r="E29" s="376" t="s">
        <v>303</v>
      </c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8"/>
      <c r="R29" s="366">
        <f>(J29+P29)*$R$1-S29</f>
        <v>0</v>
      </c>
      <c r="S29">
        <f aca="true" t="shared" si="18" ref="S29:S38">SUM(E29:H29)*14+SUM(K29:N29)*14</f>
        <v>0</v>
      </c>
      <c r="U29">
        <f aca="true" t="shared" si="19" ref="U29:U38">IF($C29="DF",1,0)*$S29</f>
        <v>0</v>
      </c>
      <c r="V29">
        <f aca="true" t="shared" si="20" ref="V29:V38">IF($C29="DD",1,0)*$S29</f>
        <v>0</v>
      </c>
      <c r="W29">
        <f aca="true" t="shared" si="21" ref="W29:W38">IF($C29="DS",1,0)*$S29</f>
        <v>0</v>
      </c>
      <c r="X29">
        <f aca="true" t="shared" si="22" ref="X29:X38">IF($C29="DC",1,0)*$S29</f>
        <v>0</v>
      </c>
      <c r="Z29">
        <f>IF(I29="E",1,0)</f>
        <v>0</v>
      </c>
      <c r="AA29">
        <f>IF(I29="C",1,0)</f>
        <v>0</v>
      </c>
      <c r="AB29">
        <f>IF(O29="E",1,0)</f>
        <v>0</v>
      </c>
      <c r="AC29">
        <f>IF(O29="C",1,0)</f>
        <v>0</v>
      </c>
      <c r="AE29">
        <f aca="true" t="shared" si="23" ref="AE29:AE38">J29+P29</f>
        <v>0</v>
      </c>
      <c r="AF29">
        <f aca="true" t="shared" si="24" ref="AF29:AF38">IF($C29="DF",1,0)*$AE29</f>
        <v>0</v>
      </c>
      <c r="AG29">
        <f aca="true" t="shared" si="25" ref="AG29:AG38">IF($C29="DD",1,0)*$AE29</f>
        <v>0</v>
      </c>
      <c r="AH29">
        <f aca="true" t="shared" si="26" ref="AH29:AH38">IF($C29="DS",1,0)*$AE29</f>
        <v>0</v>
      </c>
      <c r="AI29">
        <f aca="true" t="shared" si="27" ref="AI29:AI38">IF($C29="DC",1,0)*$AE29</f>
        <v>0</v>
      </c>
      <c r="AK29">
        <f>AL29+AM29</f>
        <v>0</v>
      </c>
      <c r="AL29">
        <f>IF(H29&gt;0,1,0)</f>
        <v>0</v>
      </c>
      <c r="AM29">
        <f>IF(N29&gt;0,1,0)</f>
        <v>0</v>
      </c>
    </row>
    <row r="30" spans="1:39" ht="12.75">
      <c r="A30" s="374">
        <v>2</v>
      </c>
      <c r="B30" s="380"/>
      <c r="C30" s="376"/>
      <c r="D30" s="374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8"/>
      <c r="R30" s="366">
        <f aca="true" t="shared" si="28" ref="R30:R38">(J30+P30)*$R$1-S30</f>
        <v>0</v>
      </c>
      <c r="S30">
        <f t="shared" si="18"/>
        <v>0</v>
      </c>
      <c r="U30">
        <f t="shared" si="19"/>
        <v>0</v>
      </c>
      <c r="V30">
        <f t="shared" si="20"/>
        <v>0</v>
      </c>
      <c r="W30">
        <f t="shared" si="21"/>
        <v>0</v>
      </c>
      <c r="X30">
        <f t="shared" si="22"/>
        <v>0</v>
      </c>
      <c r="Z30">
        <f aca="true" t="shared" si="29" ref="Z30:Z38">IF(I30="E",1,0)</f>
        <v>0</v>
      </c>
      <c r="AA30">
        <f aca="true" t="shared" si="30" ref="AA30:AA38">IF(I30="C",1,0)</f>
        <v>0</v>
      </c>
      <c r="AB30">
        <f aca="true" t="shared" si="31" ref="AB30:AB38">IF(O30="E",1,0)</f>
        <v>0</v>
      </c>
      <c r="AC30">
        <f aca="true" t="shared" si="32" ref="AC30:AC38">IF(O30="C",1,0)</f>
        <v>0</v>
      </c>
      <c r="AE30">
        <f t="shared" si="23"/>
        <v>0</v>
      </c>
      <c r="AF30">
        <f t="shared" si="24"/>
        <v>0</v>
      </c>
      <c r="AG30">
        <f t="shared" si="25"/>
        <v>0</v>
      </c>
      <c r="AH30">
        <f t="shared" si="26"/>
        <v>0</v>
      </c>
      <c r="AI30">
        <f t="shared" si="27"/>
        <v>0</v>
      </c>
      <c r="AK30">
        <f aca="true" t="shared" si="33" ref="AK30:AK38">AL30+AM30</f>
        <v>0</v>
      </c>
      <c r="AL30">
        <f aca="true" t="shared" si="34" ref="AL30:AL38">IF(H30&gt;0,1,0)</f>
        <v>0</v>
      </c>
      <c r="AM30">
        <f aca="true" t="shared" si="35" ref="AM30:AM38">IF(N30&gt;0,1,0)</f>
        <v>0</v>
      </c>
    </row>
    <row r="31" spans="1:39" ht="12.75">
      <c r="A31" s="374">
        <v>3</v>
      </c>
      <c r="B31" s="374"/>
      <c r="C31" s="376"/>
      <c r="D31" s="376" t="s">
        <v>303</v>
      </c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8"/>
      <c r="R31" s="366">
        <f t="shared" si="28"/>
        <v>0</v>
      </c>
      <c r="S31">
        <f t="shared" si="18"/>
        <v>0</v>
      </c>
      <c r="U31">
        <f t="shared" si="19"/>
        <v>0</v>
      </c>
      <c r="V31">
        <f t="shared" si="20"/>
        <v>0</v>
      </c>
      <c r="W31">
        <f t="shared" si="21"/>
        <v>0</v>
      </c>
      <c r="X31">
        <f t="shared" si="22"/>
        <v>0</v>
      </c>
      <c r="Z31">
        <f t="shared" si="29"/>
        <v>0</v>
      </c>
      <c r="AA31">
        <f t="shared" si="30"/>
        <v>0</v>
      </c>
      <c r="AB31">
        <f t="shared" si="31"/>
        <v>0</v>
      </c>
      <c r="AC31">
        <f t="shared" si="32"/>
        <v>0</v>
      </c>
      <c r="AE31">
        <f t="shared" si="23"/>
        <v>0</v>
      </c>
      <c r="AF31">
        <f t="shared" si="24"/>
        <v>0</v>
      </c>
      <c r="AG31">
        <f t="shared" si="25"/>
        <v>0</v>
      </c>
      <c r="AH31">
        <f t="shared" si="26"/>
        <v>0</v>
      </c>
      <c r="AI31">
        <f t="shared" si="27"/>
        <v>0</v>
      </c>
      <c r="AK31">
        <f t="shared" si="33"/>
        <v>0</v>
      </c>
      <c r="AL31">
        <f t="shared" si="34"/>
        <v>0</v>
      </c>
      <c r="AM31">
        <f t="shared" si="35"/>
        <v>0</v>
      </c>
    </row>
    <row r="32" spans="1:39" ht="12.75">
      <c r="A32" s="374">
        <v>4</v>
      </c>
      <c r="B32" s="374"/>
      <c r="C32" s="376"/>
      <c r="D32" s="374"/>
      <c r="E32" s="376"/>
      <c r="F32" s="376"/>
      <c r="G32" s="376"/>
      <c r="H32" s="376"/>
      <c r="I32" s="376"/>
      <c r="J32" s="376"/>
      <c r="K32" s="386"/>
      <c r="L32" s="386"/>
      <c r="M32" s="386"/>
      <c r="N32" s="386"/>
      <c r="O32" s="386"/>
      <c r="P32" s="386"/>
      <c r="Q32" s="75"/>
      <c r="R32" s="366">
        <f t="shared" si="28"/>
        <v>0</v>
      </c>
      <c r="S32">
        <f t="shared" si="18"/>
        <v>0</v>
      </c>
      <c r="U32">
        <f t="shared" si="19"/>
        <v>0</v>
      </c>
      <c r="V32">
        <f t="shared" si="20"/>
        <v>0</v>
      </c>
      <c r="W32">
        <f t="shared" si="21"/>
        <v>0</v>
      </c>
      <c r="X32">
        <f t="shared" si="22"/>
        <v>0</v>
      </c>
      <c r="Z32">
        <f t="shared" si="29"/>
        <v>0</v>
      </c>
      <c r="AA32">
        <f t="shared" si="30"/>
        <v>0</v>
      </c>
      <c r="AB32">
        <f t="shared" si="31"/>
        <v>0</v>
      </c>
      <c r="AC32">
        <f t="shared" si="32"/>
        <v>0</v>
      </c>
      <c r="AE32">
        <f t="shared" si="23"/>
        <v>0</v>
      </c>
      <c r="AF32">
        <f t="shared" si="24"/>
        <v>0</v>
      </c>
      <c r="AG32">
        <f t="shared" si="25"/>
        <v>0</v>
      </c>
      <c r="AH32">
        <f t="shared" si="26"/>
        <v>0</v>
      </c>
      <c r="AI32">
        <f t="shared" si="27"/>
        <v>0</v>
      </c>
      <c r="AK32">
        <f t="shared" si="33"/>
        <v>0</v>
      </c>
      <c r="AL32">
        <f t="shared" si="34"/>
        <v>0</v>
      </c>
      <c r="AM32">
        <f t="shared" si="35"/>
        <v>0</v>
      </c>
    </row>
    <row r="33" spans="1:39" ht="12.75">
      <c r="A33" s="391">
        <v>5</v>
      </c>
      <c r="B33" s="374"/>
      <c r="C33" s="376"/>
      <c r="D33" s="374"/>
      <c r="E33" s="376"/>
      <c r="F33" s="376"/>
      <c r="G33" s="376"/>
      <c r="H33" s="376"/>
      <c r="I33" s="376"/>
      <c r="J33" s="376"/>
      <c r="K33" s="386"/>
      <c r="L33" s="386"/>
      <c r="M33" s="386"/>
      <c r="N33" s="386"/>
      <c r="O33" s="386"/>
      <c r="P33" s="386"/>
      <c r="Q33" s="75"/>
      <c r="R33" s="366">
        <f t="shared" si="28"/>
        <v>0</v>
      </c>
      <c r="S33">
        <f t="shared" si="18"/>
        <v>0</v>
      </c>
      <c r="U33">
        <f t="shared" si="19"/>
        <v>0</v>
      </c>
      <c r="V33">
        <f t="shared" si="20"/>
        <v>0</v>
      </c>
      <c r="W33">
        <f t="shared" si="21"/>
        <v>0</v>
      </c>
      <c r="X33">
        <f t="shared" si="22"/>
        <v>0</v>
      </c>
      <c r="Z33">
        <f t="shared" si="29"/>
        <v>0</v>
      </c>
      <c r="AA33">
        <f t="shared" si="30"/>
        <v>0</v>
      </c>
      <c r="AB33">
        <f t="shared" si="31"/>
        <v>0</v>
      </c>
      <c r="AC33">
        <f t="shared" si="32"/>
        <v>0</v>
      </c>
      <c r="AE33">
        <f t="shared" si="23"/>
        <v>0</v>
      </c>
      <c r="AF33">
        <f t="shared" si="24"/>
        <v>0</v>
      </c>
      <c r="AG33">
        <f t="shared" si="25"/>
        <v>0</v>
      </c>
      <c r="AH33">
        <f t="shared" si="26"/>
        <v>0</v>
      </c>
      <c r="AI33">
        <f t="shared" si="27"/>
        <v>0</v>
      </c>
      <c r="AK33">
        <f t="shared" si="33"/>
        <v>0</v>
      </c>
      <c r="AL33">
        <f t="shared" si="34"/>
        <v>0</v>
      </c>
      <c r="AM33">
        <f t="shared" si="35"/>
        <v>0</v>
      </c>
    </row>
    <row r="34" spans="1:39" ht="12.75">
      <c r="A34" s="391">
        <v>6</v>
      </c>
      <c r="B34" s="391"/>
      <c r="C34" s="386"/>
      <c r="D34" s="391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75"/>
      <c r="R34" s="366">
        <f t="shared" si="28"/>
        <v>0</v>
      </c>
      <c r="S34">
        <f t="shared" si="18"/>
        <v>0</v>
      </c>
      <c r="U34">
        <f t="shared" si="19"/>
        <v>0</v>
      </c>
      <c r="V34">
        <f t="shared" si="20"/>
        <v>0</v>
      </c>
      <c r="W34">
        <f t="shared" si="21"/>
        <v>0</v>
      </c>
      <c r="X34">
        <f t="shared" si="22"/>
        <v>0</v>
      </c>
      <c r="Z34">
        <f t="shared" si="29"/>
        <v>0</v>
      </c>
      <c r="AA34">
        <f t="shared" si="30"/>
        <v>0</v>
      </c>
      <c r="AB34">
        <f t="shared" si="31"/>
        <v>0</v>
      </c>
      <c r="AC34">
        <f t="shared" si="32"/>
        <v>0</v>
      </c>
      <c r="AE34">
        <f t="shared" si="23"/>
        <v>0</v>
      </c>
      <c r="AF34">
        <f t="shared" si="24"/>
        <v>0</v>
      </c>
      <c r="AG34">
        <f t="shared" si="25"/>
        <v>0</v>
      </c>
      <c r="AH34">
        <f t="shared" si="26"/>
        <v>0</v>
      </c>
      <c r="AI34">
        <f t="shared" si="27"/>
        <v>0</v>
      </c>
      <c r="AK34">
        <f t="shared" si="33"/>
        <v>0</v>
      </c>
      <c r="AL34">
        <f t="shared" si="34"/>
        <v>0</v>
      </c>
      <c r="AM34">
        <f t="shared" si="35"/>
        <v>0</v>
      </c>
    </row>
    <row r="35" spans="1:39" ht="12.75">
      <c r="A35" s="391">
        <v>7</v>
      </c>
      <c r="B35" s="391"/>
      <c r="C35" s="386"/>
      <c r="D35" s="391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75"/>
      <c r="R35" s="366">
        <f t="shared" si="28"/>
        <v>0</v>
      </c>
      <c r="S35">
        <f t="shared" si="18"/>
        <v>0</v>
      </c>
      <c r="U35">
        <f t="shared" si="19"/>
        <v>0</v>
      </c>
      <c r="V35">
        <f t="shared" si="20"/>
        <v>0</v>
      </c>
      <c r="W35">
        <f t="shared" si="21"/>
        <v>0</v>
      </c>
      <c r="X35">
        <f t="shared" si="22"/>
        <v>0</v>
      </c>
      <c r="Z35">
        <f t="shared" si="29"/>
        <v>0</v>
      </c>
      <c r="AA35">
        <f t="shared" si="30"/>
        <v>0</v>
      </c>
      <c r="AB35">
        <f t="shared" si="31"/>
        <v>0</v>
      </c>
      <c r="AC35">
        <f t="shared" si="32"/>
        <v>0</v>
      </c>
      <c r="AE35">
        <f t="shared" si="23"/>
        <v>0</v>
      </c>
      <c r="AF35">
        <f t="shared" si="24"/>
        <v>0</v>
      </c>
      <c r="AG35">
        <f t="shared" si="25"/>
        <v>0</v>
      </c>
      <c r="AH35">
        <f t="shared" si="26"/>
        <v>0</v>
      </c>
      <c r="AI35">
        <f t="shared" si="27"/>
        <v>0</v>
      </c>
      <c r="AK35">
        <f t="shared" si="33"/>
        <v>0</v>
      </c>
      <c r="AL35">
        <f t="shared" si="34"/>
        <v>0</v>
      </c>
      <c r="AM35">
        <f t="shared" si="35"/>
        <v>0</v>
      </c>
    </row>
    <row r="36" spans="1:39" ht="12.75">
      <c r="A36" s="391">
        <v>8</v>
      </c>
      <c r="B36" s="391"/>
      <c r="C36" s="386"/>
      <c r="D36" s="391"/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75"/>
      <c r="R36" s="366">
        <f t="shared" si="28"/>
        <v>0</v>
      </c>
      <c r="S36">
        <f t="shared" si="18"/>
        <v>0</v>
      </c>
      <c r="U36">
        <f t="shared" si="19"/>
        <v>0</v>
      </c>
      <c r="V36">
        <f t="shared" si="20"/>
        <v>0</v>
      </c>
      <c r="W36">
        <f t="shared" si="21"/>
        <v>0</v>
      </c>
      <c r="X36">
        <f t="shared" si="22"/>
        <v>0</v>
      </c>
      <c r="Z36">
        <f t="shared" si="29"/>
        <v>0</v>
      </c>
      <c r="AA36">
        <f t="shared" si="30"/>
        <v>0</v>
      </c>
      <c r="AB36">
        <f t="shared" si="31"/>
        <v>0</v>
      </c>
      <c r="AC36">
        <f t="shared" si="32"/>
        <v>0</v>
      </c>
      <c r="AE36">
        <f t="shared" si="23"/>
        <v>0</v>
      </c>
      <c r="AF36">
        <f t="shared" si="24"/>
        <v>0</v>
      </c>
      <c r="AG36">
        <f t="shared" si="25"/>
        <v>0</v>
      </c>
      <c r="AH36">
        <f t="shared" si="26"/>
        <v>0</v>
      </c>
      <c r="AI36">
        <f t="shared" si="27"/>
        <v>0</v>
      </c>
      <c r="AK36">
        <f t="shared" si="33"/>
        <v>0</v>
      </c>
      <c r="AL36">
        <f t="shared" si="34"/>
        <v>0</v>
      </c>
      <c r="AM36">
        <f t="shared" si="35"/>
        <v>0</v>
      </c>
    </row>
    <row r="37" spans="1:39" ht="12.75">
      <c r="A37" s="391">
        <v>9</v>
      </c>
      <c r="B37" s="391"/>
      <c r="C37" s="386"/>
      <c r="D37" s="391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75"/>
      <c r="R37" s="366">
        <f t="shared" si="28"/>
        <v>0</v>
      </c>
      <c r="S37">
        <f t="shared" si="18"/>
        <v>0</v>
      </c>
      <c r="U37">
        <f t="shared" si="19"/>
        <v>0</v>
      </c>
      <c r="V37">
        <f t="shared" si="20"/>
        <v>0</v>
      </c>
      <c r="W37">
        <f t="shared" si="21"/>
        <v>0</v>
      </c>
      <c r="X37">
        <f t="shared" si="22"/>
        <v>0</v>
      </c>
      <c r="Z37">
        <f t="shared" si="29"/>
        <v>0</v>
      </c>
      <c r="AA37">
        <f t="shared" si="30"/>
        <v>0</v>
      </c>
      <c r="AB37">
        <f t="shared" si="31"/>
        <v>0</v>
      </c>
      <c r="AC37">
        <f t="shared" si="32"/>
        <v>0</v>
      </c>
      <c r="AE37">
        <f t="shared" si="23"/>
        <v>0</v>
      </c>
      <c r="AF37">
        <f t="shared" si="24"/>
        <v>0</v>
      </c>
      <c r="AG37">
        <f t="shared" si="25"/>
        <v>0</v>
      </c>
      <c r="AH37">
        <f t="shared" si="26"/>
        <v>0</v>
      </c>
      <c r="AI37">
        <f t="shared" si="27"/>
        <v>0</v>
      </c>
      <c r="AK37">
        <f t="shared" si="33"/>
        <v>0</v>
      </c>
      <c r="AL37">
        <f t="shared" si="34"/>
        <v>0</v>
      </c>
      <c r="AM37">
        <f t="shared" si="35"/>
        <v>0</v>
      </c>
    </row>
    <row r="38" spans="1:39" ht="12.75">
      <c r="A38" s="391">
        <v>10</v>
      </c>
      <c r="B38" s="391"/>
      <c r="C38" s="386"/>
      <c r="D38" s="391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75"/>
      <c r="R38" s="366">
        <f t="shared" si="28"/>
        <v>0</v>
      </c>
      <c r="S38">
        <f t="shared" si="18"/>
        <v>0</v>
      </c>
      <c r="U38">
        <f t="shared" si="19"/>
        <v>0</v>
      </c>
      <c r="V38">
        <f t="shared" si="20"/>
        <v>0</v>
      </c>
      <c r="W38">
        <f t="shared" si="21"/>
        <v>0</v>
      </c>
      <c r="X38">
        <f t="shared" si="22"/>
        <v>0</v>
      </c>
      <c r="Z38">
        <f t="shared" si="29"/>
        <v>0</v>
      </c>
      <c r="AA38">
        <f t="shared" si="30"/>
        <v>0</v>
      </c>
      <c r="AB38">
        <f t="shared" si="31"/>
        <v>0</v>
      </c>
      <c r="AC38">
        <f t="shared" si="32"/>
        <v>0</v>
      </c>
      <c r="AE38">
        <f t="shared" si="23"/>
        <v>0</v>
      </c>
      <c r="AF38">
        <f t="shared" si="24"/>
        <v>0</v>
      </c>
      <c r="AG38">
        <f t="shared" si="25"/>
        <v>0</v>
      </c>
      <c r="AH38">
        <f t="shared" si="26"/>
        <v>0</v>
      </c>
      <c r="AI38">
        <f t="shared" si="27"/>
        <v>0</v>
      </c>
      <c r="AK38">
        <f t="shared" si="33"/>
        <v>0</v>
      </c>
      <c r="AL38">
        <f t="shared" si="34"/>
        <v>0</v>
      </c>
      <c r="AM38">
        <f t="shared" si="35"/>
        <v>0</v>
      </c>
    </row>
    <row r="39" spans="2:18" ht="12.75">
      <c r="B39" s="387" t="s">
        <v>306</v>
      </c>
      <c r="D39" s="369"/>
      <c r="E39">
        <f>SUM(E29:E38)</f>
        <v>0</v>
      </c>
      <c r="F39">
        <f>SUM(F29:F38)</f>
        <v>0</v>
      </c>
      <c r="G39">
        <f>SUM(G29:G38)</f>
        <v>0</v>
      </c>
      <c r="H39">
        <f>SUM(H29:H38)</f>
        <v>0</v>
      </c>
      <c r="I39" s="388">
        <f>Z40</f>
        <v>0</v>
      </c>
      <c r="J39" s="369">
        <f>SUM(J29:J38)</f>
        <v>0</v>
      </c>
      <c r="K39">
        <f>SUM(K29:K38)</f>
        <v>0</v>
      </c>
      <c r="L39">
        <f>SUM(L29:L38)</f>
        <v>0</v>
      </c>
      <c r="M39">
        <f>SUM(M29:M38)</f>
        <v>0</v>
      </c>
      <c r="N39">
        <f>SUM(N29:N38)</f>
        <v>0</v>
      </c>
      <c r="O39" s="388">
        <f>AB40</f>
        <v>0</v>
      </c>
      <c r="P39" s="369">
        <f>SUM(P29:P38)</f>
        <v>0</v>
      </c>
      <c r="Q39" s="17"/>
      <c r="R39" s="366"/>
    </row>
    <row r="40" spans="4:39" ht="12.75">
      <c r="D40" s="369"/>
      <c r="E40">
        <f>E39+F39+G39+H39</f>
        <v>0</v>
      </c>
      <c r="I40" s="388">
        <f>AA40</f>
        <v>0</v>
      </c>
      <c r="J40" s="369"/>
      <c r="K40">
        <f>K39+L39+M39+N39</f>
        <v>0</v>
      </c>
      <c r="O40" s="388">
        <f>AC40</f>
        <v>0</v>
      </c>
      <c r="P40" s="369"/>
      <c r="Q40" s="17"/>
      <c r="R40" s="366">
        <f>SUM(R29:R38)</f>
        <v>0</v>
      </c>
      <c r="S40">
        <f>SUM(S29:S38)</f>
        <v>0</v>
      </c>
      <c r="U40" s="82"/>
      <c r="V40" s="82"/>
      <c r="W40" s="82"/>
      <c r="X40" s="82"/>
      <c r="Z40">
        <f>SUM(Z29:Z38)</f>
        <v>0</v>
      </c>
      <c r="AA40">
        <f>SUM(AA29:AA38)</f>
        <v>0</v>
      </c>
      <c r="AB40">
        <f>SUM(AB29:AB38)</f>
        <v>0</v>
      </c>
      <c r="AC40">
        <f>SUM(AC29:AC38)</f>
        <v>0</v>
      </c>
      <c r="AE40">
        <f>SUM(AE5:AE38)</f>
        <v>60</v>
      </c>
      <c r="AF40">
        <f>SUM(AF5:AF38)</f>
        <v>36</v>
      </c>
      <c r="AG40">
        <f>SUM(AG5:AG38)</f>
        <v>14</v>
      </c>
      <c r="AH40">
        <f>SUM(AH5:AH38)</f>
        <v>0</v>
      </c>
      <c r="AI40">
        <f>SUM(AI5:AI38)</f>
        <v>10</v>
      </c>
      <c r="AK40">
        <f>SUM(AK5:AK38)</f>
        <v>0</v>
      </c>
      <c r="AL40">
        <f>SUM(AL5:AL38)</f>
        <v>0</v>
      </c>
      <c r="AM40">
        <f>SUM(AM5:AM38)</f>
        <v>0</v>
      </c>
    </row>
    <row r="41" spans="4:18" ht="12.75">
      <c r="D41" s="17"/>
      <c r="I41" s="389" t="s">
        <v>305</v>
      </c>
      <c r="J41" s="17"/>
      <c r="O41" s="389" t="s">
        <v>305</v>
      </c>
      <c r="P41" s="17"/>
      <c r="Q41" s="17"/>
      <c r="R41" s="366"/>
    </row>
    <row r="42" spans="18:19" ht="12.75">
      <c r="R42" s="366"/>
      <c r="S42" s="82"/>
    </row>
    <row r="43" spans="2:29" ht="12.75">
      <c r="B43" s="364" t="s">
        <v>307</v>
      </c>
      <c r="D43" s="369"/>
      <c r="E43">
        <f>E24+E39</f>
        <v>13</v>
      </c>
      <c r="F43">
        <f aca="true" t="shared" si="36" ref="F43:P43">F24+F39</f>
        <v>7</v>
      </c>
      <c r="G43">
        <f t="shared" si="36"/>
        <v>6</v>
      </c>
      <c r="H43">
        <f t="shared" si="36"/>
        <v>0</v>
      </c>
      <c r="I43" s="388">
        <f>Z43</f>
        <v>5</v>
      </c>
      <c r="J43" s="369">
        <f t="shared" si="36"/>
        <v>30</v>
      </c>
      <c r="K43">
        <f>K24+K39</f>
        <v>10</v>
      </c>
      <c r="L43">
        <f t="shared" si="36"/>
        <v>7</v>
      </c>
      <c r="M43">
        <f t="shared" si="36"/>
        <v>9</v>
      </c>
      <c r="N43">
        <f t="shared" si="36"/>
        <v>0</v>
      </c>
      <c r="O43" s="388">
        <f>AB43</f>
        <v>4</v>
      </c>
      <c r="P43" s="369">
        <f t="shared" si="36"/>
        <v>30</v>
      </c>
      <c r="Q43" s="17"/>
      <c r="R43" s="366"/>
      <c r="U43" s="82">
        <f>SUM(U5:U38)</f>
        <v>434</v>
      </c>
      <c r="V43" s="82">
        <f>SUM(V5:V38)</f>
        <v>154</v>
      </c>
      <c r="W43" s="82">
        <f>SUM(W5:W38)</f>
        <v>0</v>
      </c>
      <c r="X43" s="82">
        <f>SUM(X5:X38)</f>
        <v>140</v>
      </c>
      <c r="Z43">
        <f>Z25+Z40</f>
        <v>5</v>
      </c>
      <c r="AA43">
        <f>AA25+AA40</f>
        <v>4</v>
      </c>
      <c r="AB43">
        <f>AB25+AB40</f>
        <v>4</v>
      </c>
      <c r="AC43">
        <f>AC25+AC40</f>
        <v>4</v>
      </c>
    </row>
    <row r="44" spans="2:24" ht="12.75">
      <c r="B44" s="364"/>
      <c r="D44" s="369"/>
      <c r="E44">
        <f>E43+F43+G43+H43</f>
        <v>26</v>
      </c>
      <c r="I44" s="388">
        <f>AA43</f>
        <v>4</v>
      </c>
      <c r="J44" s="369"/>
      <c r="K44">
        <f>K43+L43+M43+N43</f>
        <v>26</v>
      </c>
      <c r="O44" s="388">
        <f>AC43</f>
        <v>4</v>
      </c>
      <c r="P44" s="369"/>
      <c r="Q44" s="392">
        <f>R44+S44</f>
        <v>1500</v>
      </c>
      <c r="R44" s="366">
        <f>R25+R40</f>
        <v>772</v>
      </c>
      <c r="S44">
        <f>S25+S40</f>
        <v>728</v>
      </c>
      <c r="U44" s="82">
        <f>SUM(U43:X43)</f>
        <v>728</v>
      </c>
      <c r="V44" s="82"/>
      <c r="W44" s="82"/>
      <c r="X44" s="82"/>
    </row>
    <row r="45" spans="2:18" ht="12.75">
      <c r="B45" s="364"/>
      <c r="D45" s="17"/>
      <c r="I45" s="389" t="s">
        <v>305</v>
      </c>
      <c r="J45" s="17"/>
      <c r="O45" s="389" t="s">
        <v>305</v>
      </c>
      <c r="P45" s="17"/>
      <c r="Q45" s="393" t="str">
        <f>IF(Q44=R1*(J43+P43),"OK","BAD")</f>
        <v>OK</v>
      </c>
      <c r="R45" s="366"/>
    </row>
    <row r="46" ht="12.75">
      <c r="R46" s="366"/>
    </row>
    <row r="47" spans="1:18" ht="12.75">
      <c r="A47" s="372" t="s">
        <v>293</v>
      </c>
      <c r="B47" s="372" t="s">
        <v>14</v>
      </c>
      <c r="C47" s="372" t="s">
        <v>294</v>
      </c>
      <c r="D47" s="373" t="s">
        <v>295</v>
      </c>
      <c r="E47" s="372" t="s">
        <v>9</v>
      </c>
      <c r="F47" s="372" t="s">
        <v>10</v>
      </c>
      <c r="G47" s="372" t="s">
        <v>11</v>
      </c>
      <c r="H47" s="372" t="s">
        <v>12</v>
      </c>
      <c r="I47" s="372" t="s">
        <v>296</v>
      </c>
      <c r="J47" s="373" t="s">
        <v>297</v>
      </c>
      <c r="K47" s="372" t="s">
        <v>9</v>
      </c>
      <c r="L47" s="372" t="s">
        <v>10</v>
      </c>
      <c r="M47" s="372" t="s">
        <v>11</v>
      </c>
      <c r="N47" s="372" t="s">
        <v>12</v>
      </c>
      <c r="O47" s="372" t="s">
        <v>296</v>
      </c>
      <c r="P47" s="373" t="s">
        <v>297</v>
      </c>
      <c r="Q47" s="368"/>
      <c r="R47" s="366"/>
    </row>
    <row r="48" spans="1:29" ht="12.75">
      <c r="A48" s="374">
        <v>1</v>
      </c>
      <c r="B48" s="374" t="s">
        <v>136</v>
      </c>
      <c r="C48" s="376" t="s">
        <v>308</v>
      </c>
      <c r="D48" s="376" t="s">
        <v>309</v>
      </c>
      <c r="E48" s="376">
        <v>2</v>
      </c>
      <c r="F48" s="376">
        <v>2</v>
      </c>
      <c r="G48" s="376"/>
      <c r="H48" s="376"/>
      <c r="I48" s="376" t="s">
        <v>9</v>
      </c>
      <c r="J48" s="376">
        <v>4</v>
      </c>
      <c r="K48" s="376"/>
      <c r="L48" s="376"/>
      <c r="M48" s="376"/>
      <c r="N48" s="376"/>
      <c r="O48" s="376"/>
      <c r="P48" s="376"/>
      <c r="Q48" s="378"/>
      <c r="R48" s="366">
        <f>(J48+P48)*$R$1-S48</f>
        <v>44</v>
      </c>
      <c r="S48">
        <f aca="true" t="shared" si="37" ref="S48:S57">SUM(E48:H48)*14+SUM(K48:N48)*14</f>
        <v>56</v>
      </c>
      <c r="Z48">
        <f>IF(I48="E",1,0)</f>
        <v>0</v>
      </c>
      <c r="AA48">
        <f>IF(I48="C",1,0)</f>
        <v>1</v>
      </c>
      <c r="AB48">
        <f>IF(O48="E",1,0)</f>
        <v>0</v>
      </c>
      <c r="AC48">
        <f>IF(O48="C",1,0)</f>
        <v>0</v>
      </c>
    </row>
    <row r="49" spans="1:29" ht="12.75">
      <c r="A49" s="374">
        <v>2</v>
      </c>
      <c r="B49" s="374" t="s">
        <v>137</v>
      </c>
      <c r="C49" s="376" t="s">
        <v>308</v>
      </c>
      <c r="D49" s="376" t="s">
        <v>309</v>
      </c>
      <c r="E49" s="376">
        <v>2</v>
      </c>
      <c r="F49" s="376">
        <v>2</v>
      </c>
      <c r="G49" s="376"/>
      <c r="H49" s="376"/>
      <c r="I49" s="376" t="s">
        <v>9</v>
      </c>
      <c r="J49" s="376">
        <v>4</v>
      </c>
      <c r="K49" s="376"/>
      <c r="L49" s="376"/>
      <c r="M49" s="376"/>
      <c r="N49" s="376"/>
      <c r="O49" s="376"/>
      <c r="P49" s="376"/>
      <c r="Q49" s="378"/>
      <c r="R49" s="366">
        <f aca="true" t="shared" si="38" ref="R49:R57">(J49+P49)*$R$1-S49</f>
        <v>44</v>
      </c>
      <c r="S49">
        <f t="shared" si="37"/>
        <v>56</v>
      </c>
      <c r="Z49">
        <f aca="true" t="shared" si="39" ref="Z49:Z57">IF(I49="E",1,0)</f>
        <v>0</v>
      </c>
      <c r="AA49">
        <f aca="true" t="shared" si="40" ref="AA49:AA57">IF(I49="C",1,0)</f>
        <v>1</v>
      </c>
      <c r="AB49">
        <f aca="true" t="shared" si="41" ref="AB49:AB57">IF(O49="E",1,0)</f>
        <v>0</v>
      </c>
      <c r="AC49">
        <f aca="true" t="shared" si="42" ref="AC49:AC57">IF(O49="C",1,0)</f>
        <v>0</v>
      </c>
    </row>
    <row r="50" spans="1:29" ht="12.75">
      <c r="A50" s="374">
        <v>3</v>
      </c>
      <c r="B50" s="374" t="s">
        <v>147</v>
      </c>
      <c r="C50" s="376" t="s">
        <v>308</v>
      </c>
      <c r="D50" s="376" t="s">
        <v>309</v>
      </c>
      <c r="E50" s="376">
        <v>2</v>
      </c>
      <c r="F50" s="376">
        <v>2</v>
      </c>
      <c r="G50" s="376"/>
      <c r="H50" s="376"/>
      <c r="I50" s="376" t="s">
        <v>81</v>
      </c>
      <c r="J50" s="376">
        <v>5</v>
      </c>
      <c r="K50" s="376"/>
      <c r="L50" s="376"/>
      <c r="M50" s="376"/>
      <c r="N50" s="376"/>
      <c r="O50" s="376"/>
      <c r="P50" s="376"/>
      <c r="Q50" s="378"/>
      <c r="R50" s="366">
        <f t="shared" si="38"/>
        <v>69</v>
      </c>
      <c r="S50">
        <f t="shared" si="37"/>
        <v>56</v>
      </c>
      <c r="Z50">
        <f t="shared" si="39"/>
        <v>1</v>
      </c>
      <c r="AA50">
        <f t="shared" si="40"/>
        <v>0</v>
      </c>
      <c r="AB50">
        <f t="shared" si="41"/>
        <v>0</v>
      </c>
      <c r="AC50">
        <f t="shared" si="42"/>
        <v>0</v>
      </c>
    </row>
    <row r="51" spans="1:29" ht="12.75">
      <c r="A51" s="374">
        <v>4</v>
      </c>
      <c r="B51" s="374" t="s">
        <v>310</v>
      </c>
      <c r="C51" s="376" t="s">
        <v>308</v>
      </c>
      <c r="D51" s="376" t="s">
        <v>309</v>
      </c>
      <c r="E51" s="376"/>
      <c r="F51" s="376"/>
      <c r="G51" s="376"/>
      <c r="H51" s="376"/>
      <c r="I51" s="376"/>
      <c r="J51" s="376"/>
      <c r="K51" s="376">
        <v>2</v>
      </c>
      <c r="L51" s="376">
        <v>2</v>
      </c>
      <c r="M51" s="376"/>
      <c r="N51" s="376"/>
      <c r="O51" s="376" t="s">
        <v>81</v>
      </c>
      <c r="P51" s="376">
        <v>5</v>
      </c>
      <c r="Q51" s="378"/>
      <c r="R51" s="366">
        <f t="shared" si="38"/>
        <v>69</v>
      </c>
      <c r="S51">
        <f t="shared" si="37"/>
        <v>56</v>
      </c>
      <c r="Z51">
        <f t="shared" si="39"/>
        <v>0</v>
      </c>
      <c r="AA51">
        <f t="shared" si="40"/>
        <v>0</v>
      </c>
      <c r="AB51">
        <f t="shared" si="41"/>
        <v>1</v>
      </c>
      <c r="AC51">
        <f t="shared" si="42"/>
        <v>0</v>
      </c>
    </row>
    <row r="52" spans="1:29" ht="12.75">
      <c r="A52" s="391">
        <v>5</v>
      </c>
      <c r="B52" s="374"/>
      <c r="C52" s="386"/>
      <c r="D52" s="37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75"/>
      <c r="R52" s="366">
        <f t="shared" si="38"/>
        <v>0</v>
      </c>
      <c r="S52">
        <f t="shared" si="37"/>
        <v>0</v>
      </c>
      <c r="Z52">
        <f t="shared" si="39"/>
        <v>0</v>
      </c>
      <c r="AA52">
        <f t="shared" si="40"/>
        <v>0</v>
      </c>
      <c r="AB52">
        <f t="shared" si="41"/>
        <v>0</v>
      </c>
      <c r="AC52">
        <f t="shared" si="42"/>
        <v>0</v>
      </c>
    </row>
    <row r="53" spans="1:29" ht="12.75">
      <c r="A53" s="391">
        <v>6</v>
      </c>
      <c r="B53" s="374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75"/>
      <c r="R53" s="366">
        <f t="shared" si="38"/>
        <v>0</v>
      </c>
      <c r="S53">
        <f t="shared" si="37"/>
        <v>0</v>
      </c>
      <c r="Z53">
        <f t="shared" si="39"/>
        <v>0</v>
      </c>
      <c r="AA53">
        <f t="shared" si="40"/>
        <v>0</v>
      </c>
      <c r="AB53">
        <f t="shared" si="41"/>
        <v>0</v>
      </c>
      <c r="AC53">
        <f t="shared" si="42"/>
        <v>0</v>
      </c>
    </row>
    <row r="54" spans="1:29" ht="12.75">
      <c r="A54" s="391">
        <v>7</v>
      </c>
      <c r="B54" s="374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75"/>
      <c r="R54" s="366">
        <f t="shared" si="38"/>
        <v>0</v>
      </c>
      <c r="S54">
        <f t="shared" si="37"/>
        <v>0</v>
      </c>
      <c r="Z54">
        <f t="shared" si="39"/>
        <v>0</v>
      </c>
      <c r="AA54">
        <f t="shared" si="40"/>
        <v>0</v>
      </c>
      <c r="AB54">
        <f t="shared" si="41"/>
        <v>0</v>
      </c>
      <c r="AC54">
        <f t="shared" si="42"/>
        <v>0</v>
      </c>
    </row>
    <row r="55" spans="1:29" ht="12.75">
      <c r="A55" s="391">
        <v>8</v>
      </c>
      <c r="B55" s="391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75"/>
      <c r="R55" s="366">
        <f t="shared" si="38"/>
        <v>0</v>
      </c>
      <c r="S55">
        <f t="shared" si="37"/>
        <v>0</v>
      </c>
      <c r="Z55">
        <f t="shared" si="39"/>
        <v>0</v>
      </c>
      <c r="AA55">
        <f t="shared" si="40"/>
        <v>0</v>
      </c>
      <c r="AB55">
        <f t="shared" si="41"/>
        <v>0</v>
      </c>
      <c r="AC55">
        <f t="shared" si="42"/>
        <v>0</v>
      </c>
    </row>
    <row r="56" spans="1:29" ht="12.75">
      <c r="A56" s="391">
        <v>9</v>
      </c>
      <c r="B56" s="391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75"/>
      <c r="R56" s="366">
        <f t="shared" si="38"/>
        <v>0</v>
      </c>
      <c r="S56">
        <f t="shared" si="37"/>
        <v>0</v>
      </c>
      <c r="Z56">
        <f t="shared" si="39"/>
        <v>0</v>
      </c>
      <c r="AA56">
        <f t="shared" si="40"/>
        <v>0</v>
      </c>
      <c r="AB56">
        <f t="shared" si="41"/>
        <v>0</v>
      </c>
      <c r="AC56">
        <f t="shared" si="42"/>
        <v>0</v>
      </c>
    </row>
    <row r="57" spans="1:29" ht="12.75">
      <c r="A57" s="391">
        <v>10</v>
      </c>
      <c r="B57" s="391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75"/>
      <c r="R57" s="366">
        <f t="shared" si="38"/>
        <v>0</v>
      </c>
      <c r="S57">
        <f t="shared" si="37"/>
        <v>0</v>
      </c>
      <c r="Z57">
        <f t="shared" si="39"/>
        <v>0</v>
      </c>
      <c r="AA57">
        <f t="shared" si="40"/>
        <v>0</v>
      </c>
      <c r="AB57">
        <f t="shared" si="41"/>
        <v>0</v>
      </c>
      <c r="AC57">
        <f t="shared" si="42"/>
        <v>0</v>
      </c>
    </row>
    <row r="58" spans="2:18" ht="12.75">
      <c r="B58" s="387" t="s">
        <v>311</v>
      </c>
      <c r="D58" s="369"/>
      <c r="E58">
        <f>SUM(E48:E57)</f>
        <v>6</v>
      </c>
      <c r="F58">
        <f>SUM(F48:F57)</f>
        <v>6</v>
      </c>
      <c r="G58">
        <f>SUM(G48:G57)</f>
        <v>0</v>
      </c>
      <c r="H58">
        <f>SUM(H48:H57)</f>
        <v>0</v>
      </c>
      <c r="I58" s="388">
        <f>Z59</f>
        <v>1</v>
      </c>
      <c r="J58" s="369">
        <f>SUM(J48:J57)</f>
        <v>13</v>
      </c>
      <c r="K58">
        <f>SUM(K48:K57)</f>
        <v>2</v>
      </c>
      <c r="L58">
        <f>SUM(L48:L57)</f>
        <v>2</v>
      </c>
      <c r="M58">
        <f>SUM(M48:M57)</f>
        <v>0</v>
      </c>
      <c r="N58">
        <f>SUM(N48:N57)</f>
        <v>0</v>
      </c>
      <c r="O58" s="388">
        <f>AB59</f>
        <v>1</v>
      </c>
      <c r="P58" s="369">
        <f>SUM(P48:P57)</f>
        <v>5</v>
      </c>
      <c r="Q58" s="17"/>
      <c r="R58" s="366"/>
    </row>
    <row r="59" spans="4:79" ht="12.75">
      <c r="D59" s="369"/>
      <c r="E59">
        <f>E58+F58+G58+H58</f>
        <v>12</v>
      </c>
      <c r="I59" s="388">
        <f>AA59</f>
        <v>2</v>
      </c>
      <c r="J59" s="369"/>
      <c r="K59">
        <f>K58+L58+M58+N58</f>
        <v>4</v>
      </c>
      <c r="O59" s="388">
        <f>AC59</f>
        <v>0</v>
      </c>
      <c r="P59" s="369"/>
      <c r="Q59" s="392">
        <f>R59+S59</f>
        <v>450</v>
      </c>
      <c r="R59" s="366">
        <f>SUM(R48:R57)</f>
        <v>226</v>
      </c>
      <c r="S59">
        <f>SUM(S48:S57)</f>
        <v>224</v>
      </c>
      <c r="U59" s="82"/>
      <c r="V59" s="82"/>
      <c r="W59" s="82"/>
      <c r="X59" s="82"/>
      <c r="Y59" s="82"/>
      <c r="Z59">
        <f>SUM(Z48:Z57)</f>
        <v>1</v>
      </c>
      <c r="AA59">
        <f>SUM(AA48:AA57)</f>
        <v>2</v>
      </c>
      <c r="AB59">
        <f>SUM(AB48:AB57)</f>
        <v>1</v>
      </c>
      <c r="AC59">
        <f>SUM(AC48:AC57)</f>
        <v>0</v>
      </c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</row>
    <row r="60" spans="4:79" ht="12.75">
      <c r="D60" s="17"/>
      <c r="I60" s="389" t="s">
        <v>305</v>
      </c>
      <c r="J60" s="17"/>
      <c r="O60" s="389" t="s">
        <v>305</v>
      </c>
      <c r="P60" s="17"/>
      <c r="Q60" s="393" t="str">
        <f>IF(Q59=R1*(J58+P58),"OK","BAD")</f>
        <v>OK</v>
      </c>
      <c r="R60" s="366"/>
      <c r="U60" s="394"/>
      <c r="V60" s="394"/>
      <c r="W60" s="394"/>
      <c r="X60" s="394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</row>
    <row r="61" spans="18:79" ht="12.75">
      <c r="R61" s="366"/>
      <c r="T61" t="s">
        <v>303</v>
      </c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</row>
    <row r="62" spans="18:79" ht="12.75">
      <c r="R62" s="366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</row>
    <row r="63" spans="18:79" ht="12.75">
      <c r="R63" s="366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</row>
    <row r="64" spans="18:79" ht="12.75">
      <c r="R64" s="366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</row>
    <row r="65" spans="18:79" ht="12.75">
      <c r="R65" s="366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</row>
    <row r="66" spans="18:79" ht="12.75">
      <c r="R66" s="366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</row>
    <row r="67" spans="18:79" ht="12.75">
      <c r="R67" s="366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</row>
    <row r="68" ht="12.75">
      <c r="R68" s="366"/>
    </row>
    <row r="69" ht="12.75">
      <c r="R69" s="366"/>
    </row>
    <row r="70" ht="12.75">
      <c r="R70" s="366"/>
    </row>
    <row r="71" ht="12.75">
      <c r="R71" s="366"/>
    </row>
    <row r="72" ht="12.75">
      <c r="R72" s="366"/>
    </row>
    <row r="73" ht="12.75">
      <c r="R73" s="366"/>
    </row>
    <row r="74" ht="12.75">
      <c r="R74" s="36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B70"/>
  <sheetViews>
    <sheetView zoomScalePageLayoutView="0" workbookViewId="0" topLeftCell="C1">
      <selection activeCell="E1" sqref="E1"/>
    </sheetView>
  </sheetViews>
  <sheetFormatPr defaultColWidth="9.140625" defaultRowHeight="12.75"/>
  <cols>
    <col min="1" max="1" width="4.421875" style="0" customWidth="1"/>
    <col min="2" max="2" width="32.00390625" style="0" customWidth="1"/>
    <col min="3" max="3" width="6.28125" style="0" customWidth="1"/>
    <col min="4" max="4" width="6.421875" style="0" customWidth="1"/>
    <col min="5" max="5" width="5.00390625" style="0" customWidth="1"/>
    <col min="6" max="6" width="4.7109375" style="0" customWidth="1"/>
    <col min="7" max="7" width="4.140625" style="0" customWidth="1"/>
    <col min="8" max="8" width="4.421875" style="0" customWidth="1"/>
    <col min="9" max="9" width="5.421875" style="0" customWidth="1"/>
    <col min="10" max="10" width="6.8515625" style="0" customWidth="1"/>
    <col min="11" max="11" width="4.28125" style="0" customWidth="1"/>
    <col min="12" max="12" width="3.7109375" style="0" customWidth="1"/>
    <col min="13" max="13" width="5.421875" style="0" customWidth="1"/>
    <col min="14" max="14" width="4.421875" style="0" customWidth="1"/>
    <col min="15" max="15" width="6.421875" style="0" customWidth="1"/>
    <col min="16" max="16" width="6.57421875" style="0" customWidth="1"/>
    <col min="17" max="17" width="6.421875" style="0" customWidth="1"/>
  </cols>
  <sheetData>
    <row r="1" spans="1:18" ht="12.75">
      <c r="A1" s="364" t="s">
        <v>282</v>
      </c>
      <c r="B1" s="82"/>
      <c r="C1" s="82"/>
      <c r="D1" s="364"/>
      <c r="E1" s="365" t="s">
        <v>283</v>
      </c>
      <c r="R1" s="366">
        <v>25</v>
      </c>
    </row>
    <row r="2" spans="1:28" ht="12.75">
      <c r="A2" s="364" t="s">
        <v>98</v>
      </c>
      <c r="B2" s="364"/>
      <c r="C2" s="364"/>
      <c r="D2" s="367"/>
      <c r="E2" s="364" t="s">
        <v>285</v>
      </c>
      <c r="F2" s="364"/>
      <c r="G2" s="364"/>
      <c r="H2" s="364"/>
      <c r="I2" s="364"/>
      <c r="J2" s="367"/>
      <c r="K2" s="364" t="s">
        <v>286</v>
      </c>
      <c r="L2" s="364"/>
      <c r="M2" s="364"/>
      <c r="N2" s="364"/>
      <c r="O2" s="364"/>
      <c r="P2" s="367"/>
      <c r="R2" s="366"/>
      <c r="Z2" t="s">
        <v>287</v>
      </c>
      <c r="AB2" t="s">
        <v>288</v>
      </c>
    </row>
    <row r="3" spans="4:39" ht="12.75">
      <c r="D3" s="369" t="s">
        <v>289</v>
      </c>
      <c r="E3" s="370">
        <f>I44+I45</f>
        <v>8</v>
      </c>
      <c r="F3" s="370" t="s">
        <v>290</v>
      </c>
      <c r="G3" s="370"/>
      <c r="J3" s="369"/>
      <c r="K3" s="370">
        <v>8</v>
      </c>
      <c r="L3" s="370" t="s">
        <v>312</v>
      </c>
      <c r="M3" s="370"/>
      <c r="N3" s="370"/>
      <c r="P3" s="369"/>
      <c r="R3" s="371" t="s">
        <v>291</v>
      </c>
      <c r="S3" t="s">
        <v>292</v>
      </c>
      <c r="U3" t="s">
        <v>82</v>
      </c>
      <c r="V3" t="s">
        <v>112</v>
      </c>
      <c r="W3" t="s">
        <v>88</v>
      </c>
      <c r="X3" t="s">
        <v>85</v>
      </c>
      <c r="Z3" t="s">
        <v>60</v>
      </c>
      <c r="AA3" t="s">
        <v>61</v>
      </c>
      <c r="AB3" t="s">
        <v>60</v>
      </c>
      <c r="AC3" t="s">
        <v>61</v>
      </c>
      <c r="AF3" t="s">
        <v>82</v>
      </c>
      <c r="AG3" t="s">
        <v>112</v>
      </c>
      <c r="AH3" t="s">
        <v>88</v>
      </c>
      <c r="AI3" t="s">
        <v>85</v>
      </c>
      <c r="AK3" t="s">
        <v>12</v>
      </c>
      <c r="AL3" t="s">
        <v>287</v>
      </c>
      <c r="AM3" t="s">
        <v>288</v>
      </c>
    </row>
    <row r="4" spans="1:29" ht="12.75">
      <c r="A4" s="372" t="s">
        <v>293</v>
      </c>
      <c r="B4" s="372" t="s">
        <v>6</v>
      </c>
      <c r="C4" s="372" t="s">
        <v>294</v>
      </c>
      <c r="D4" s="373" t="s">
        <v>295</v>
      </c>
      <c r="E4" s="372" t="s">
        <v>9</v>
      </c>
      <c r="F4" s="372" t="s">
        <v>10</v>
      </c>
      <c r="G4" s="372" t="s">
        <v>11</v>
      </c>
      <c r="H4" s="372" t="s">
        <v>12</v>
      </c>
      <c r="I4" s="372" t="s">
        <v>296</v>
      </c>
      <c r="J4" s="373" t="s">
        <v>297</v>
      </c>
      <c r="K4" s="372" t="s">
        <v>9</v>
      </c>
      <c r="L4" s="372" t="s">
        <v>10</v>
      </c>
      <c r="M4" s="372" t="s">
        <v>11</v>
      </c>
      <c r="N4" s="372" t="s">
        <v>12</v>
      </c>
      <c r="O4" s="372" t="s">
        <v>296</v>
      </c>
      <c r="P4" s="373" t="s">
        <v>297</v>
      </c>
      <c r="R4" s="366"/>
      <c r="Z4" t="s">
        <v>298</v>
      </c>
      <c r="AA4" t="s">
        <v>9</v>
      </c>
      <c r="AB4" t="s">
        <v>299</v>
      </c>
      <c r="AC4" t="s">
        <v>9</v>
      </c>
    </row>
    <row r="5" spans="1:39" ht="12.75">
      <c r="A5" s="395">
        <v>1</v>
      </c>
      <c r="B5" s="395" t="s">
        <v>99</v>
      </c>
      <c r="C5" s="377" t="s">
        <v>82</v>
      </c>
      <c r="D5" s="377" t="s">
        <v>300</v>
      </c>
      <c r="E5" s="377">
        <v>2</v>
      </c>
      <c r="F5" s="377">
        <v>1</v>
      </c>
      <c r="G5" s="377"/>
      <c r="H5" s="377"/>
      <c r="I5" s="377" t="s">
        <v>81</v>
      </c>
      <c r="J5" s="377">
        <v>4</v>
      </c>
      <c r="K5" s="377"/>
      <c r="L5" s="377"/>
      <c r="M5" s="377"/>
      <c r="N5" s="376"/>
      <c r="O5" s="376"/>
      <c r="P5" s="376"/>
      <c r="R5" s="366">
        <f>(J5+P5)*$R$1-S5</f>
        <v>58</v>
      </c>
      <c r="S5">
        <f aca="true" t="shared" si="0" ref="S5:S24">SUM(E5:H5)*14+SUM(K5:N5)*14</f>
        <v>42</v>
      </c>
      <c r="U5">
        <f aca="true" t="shared" si="1" ref="U5:U24">IF($C5="DF",1,0)*$S5</f>
        <v>42</v>
      </c>
      <c r="V5">
        <f aca="true" t="shared" si="2" ref="V5:V24">IF($C5="DD",1,0)*$S5</f>
        <v>0</v>
      </c>
      <c r="W5">
        <f aca="true" t="shared" si="3" ref="W5:W24">IF($C5="DS",1,0)*$S5</f>
        <v>0</v>
      </c>
      <c r="X5">
        <f aca="true" t="shared" si="4" ref="X5:X24">IF($C5="DC",1,0)*$S5</f>
        <v>0</v>
      </c>
      <c r="Z5">
        <f>IF(I5="E",1,0)</f>
        <v>1</v>
      </c>
      <c r="AA5">
        <f>IF(I5="C",1,0)</f>
        <v>0</v>
      </c>
      <c r="AB5">
        <f>IF(O5="E",1,0)</f>
        <v>0</v>
      </c>
      <c r="AC5">
        <f>IF(O5="C",1,0)</f>
        <v>0</v>
      </c>
      <c r="AE5">
        <f>J5+P5</f>
        <v>4</v>
      </c>
      <c r="AF5">
        <f>IF($C5="DF",1,0)*$AE5</f>
        <v>4</v>
      </c>
      <c r="AG5">
        <f>IF($C5="DD",1,0)*$AE5</f>
        <v>0</v>
      </c>
      <c r="AH5">
        <f>IF($C5="DS",1,0)*$AE5</f>
        <v>0</v>
      </c>
      <c r="AI5">
        <f>IF($C5="DC",1,0)*$AE5</f>
        <v>0</v>
      </c>
      <c r="AK5">
        <f>AL5+AM5</f>
        <v>0</v>
      </c>
      <c r="AL5">
        <f>IF(H5&gt;0,1,0)</f>
        <v>0</v>
      </c>
      <c r="AM5">
        <f>IF(N5&gt;0,1,0)</f>
        <v>0</v>
      </c>
    </row>
    <row r="6" spans="1:39" ht="12.75">
      <c r="A6" s="395">
        <v>2</v>
      </c>
      <c r="B6" s="395" t="s">
        <v>129</v>
      </c>
      <c r="C6" s="377" t="s">
        <v>112</v>
      </c>
      <c r="D6" s="377" t="s">
        <v>300</v>
      </c>
      <c r="E6" s="377">
        <v>2</v>
      </c>
      <c r="F6" s="377">
        <v>1</v>
      </c>
      <c r="G6" s="377">
        <v>1</v>
      </c>
      <c r="H6" s="377"/>
      <c r="I6" s="377" t="s">
        <v>81</v>
      </c>
      <c r="J6" s="377">
        <v>4</v>
      </c>
      <c r="K6" s="377"/>
      <c r="L6" s="377"/>
      <c r="M6" s="377"/>
      <c r="N6" s="376"/>
      <c r="O6" s="376"/>
      <c r="P6" s="376"/>
      <c r="R6" s="366">
        <f aca="true" t="shared" si="5" ref="R6:R21">(J6+P6)*$R$1-S6</f>
        <v>44</v>
      </c>
      <c r="S6">
        <f t="shared" si="0"/>
        <v>56</v>
      </c>
      <c r="U6">
        <f t="shared" si="1"/>
        <v>0</v>
      </c>
      <c r="V6">
        <f t="shared" si="2"/>
        <v>56</v>
      </c>
      <c r="W6">
        <f t="shared" si="3"/>
        <v>0</v>
      </c>
      <c r="X6">
        <f t="shared" si="4"/>
        <v>0</v>
      </c>
      <c r="Z6">
        <f aca="true" t="shared" si="6" ref="Z6:Z24">IF(I6="E",1,0)</f>
        <v>1</v>
      </c>
      <c r="AA6">
        <f aca="true" t="shared" si="7" ref="AA6:AA24">IF(I6="C",1,0)</f>
        <v>0</v>
      </c>
      <c r="AB6">
        <f aca="true" t="shared" si="8" ref="AB6:AB24">IF(O6="E",1,0)</f>
        <v>0</v>
      </c>
      <c r="AC6">
        <f aca="true" t="shared" si="9" ref="AC6:AC24">IF(O6="C",1,0)</f>
        <v>0</v>
      </c>
      <c r="AE6">
        <f aca="true" t="shared" si="10" ref="AE6:AE24">J6+P6</f>
        <v>4</v>
      </c>
      <c r="AF6">
        <f aca="true" t="shared" si="11" ref="AF6:AF24">IF($C6="DF",1,0)*$AE6</f>
        <v>0</v>
      </c>
      <c r="AG6">
        <f aca="true" t="shared" si="12" ref="AG6:AG24">IF($C6="DD",1,0)*$AE6</f>
        <v>4</v>
      </c>
      <c r="AH6">
        <f aca="true" t="shared" si="13" ref="AH6:AH24">IF($C6="DS",1,0)*$AE6</f>
        <v>0</v>
      </c>
      <c r="AI6">
        <f aca="true" t="shared" si="14" ref="AI6:AI24">IF($C6="DC",1,0)*$AE6</f>
        <v>0</v>
      </c>
      <c r="AK6">
        <f aca="true" t="shared" si="15" ref="AK6:AK24">AL6+AM6</f>
        <v>0</v>
      </c>
      <c r="AL6">
        <f aca="true" t="shared" si="16" ref="AL6:AL24">IF(H6&gt;0,1,0)</f>
        <v>0</v>
      </c>
      <c r="AM6">
        <f aca="true" t="shared" si="17" ref="AM6:AM24">IF(N6&gt;0,1,0)</f>
        <v>0</v>
      </c>
    </row>
    <row r="7" spans="1:39" ht="12.75">
      <c r="A7" s="395">
        <v>3</v>
      </c>
      <c r="B7" s="395" t="s">
        <v>100</v>
      </c>
      <c r="C7" s="377" t="s">
        <v>112</v>
      </c>
      <c r="D7" s="377" t="s">
        <v>300</v>
      </c>
      <c r="E7" s="377">
        <v>2</v>
      </c>
      <c r="F7" s="377">
        <v>2</v>
      </c>
      <c r="G7" s="377"/>
      <c r="H7" s="377"/>
      <c r="I7" s="377" t="s">
        <v>81</v>
      </c>
      <c r="J7" s="377">
        <v>4</v>
      </c>
      <c r="K7" s="377"/>
      <c r="L7" s="377"/>
      <c r="M7" s="377"/>
      <c r="N7" s="376"/>
      <c r="O7" s="376"/>
      <c r="P7" s="376"/>
      <c r="R7" s="366">
        <f t="shared" si="5"/>
        <v>44</v>
      </c>
      <c r="S7">
        <f t="shared" si="0"/>
        <v>56</v>
      </c>
      <c r="U7">
        <f t="shared" si="1"/>
        <v>0</v>
      </c>
      <c r="V7">
        <f t="shared" si="2"/>
        <v>56</v>
      </c>
      <c r="W7">
        <f t="shared" si="3"/>
        <v>0</v>
      </c>
      <c r="X7">
        <f t="shared" si="4"/>
        <v>0</v>
      </c>
      <c r="Z7">
        <f t="shared" si="6"/>
        <v>1</v>
      </c>
      <c r="AA7">
        <f t="shared" si="7"/>
        <v>0</v>
      </c>
      <c r="AB7">
        <f t="shared" si="8"/>
        <v>0</v>
      </c>
      <c r="AC7">
        <f t="shared" si="9"/>
        <v>0</v>
      </c>
      <c r="AE7">
        <f t="shared" si="10"/>
        <v>4</v>
      </c>
      <c r="AF7">
        <f t="shared" si="11"/>
        <v>0</v>
      </c>
      <c r="AG7">
        <f t="shared" si="12"/>
        <v>4</v>
      </c>
      <c r="AH7">
        <f t="shared" si="13"/>
        <v>0</v>
      </c>
      <c r="AI7">
        <f t="shared" si="14"/>
        <v>0</v>
      </c>
      <c r="AK7">
        <f t="shared" si="15"/>
        <v>0</v>
      </c>
      <c r="AL7">
        <f t="shared" si="16"/>
        <v>0</v>
      </c>
      <c r="AM7">
        <f t="shared" si="17"/>
        <v>0</v>
      </c>
    </row>
    <row r="8" spans="1:39" ht="12.75">
      <c r="A8" s="395">
        <v>4</v>
      </c>
      <c r="B8" s="395" t="s">
        <v>113</v>
      </c>
      <c r="C8" s="377" t="s">
        <v>112</v>
      </c>
      <c r="D8" s="377" t="s">
        <v>300</v>
      </c>
      <c r="E8" s="377">
        <v>2</v>
      </c>
      <c r="F8" s="377">
        <v>1</v>
      </c>
      <c r="G8" s="377">
        <v>1</v>
      </c>
      <c r="H8" s="377"/>
      <c r="I8" s="377" t="s">
        <v>81</v>
      </c>
      <c r="J8" s="377">
        <v>5</v>
      </c>
      <c r="K8" s="377"/>
      <c r="L8" s="377"/>
      <c r="M8" s="377"/>
      <c r="N8" s="376"/>
      <c r="O8" s="376"/>
      <c r="P8" s="376"/>
      <c r="R8" s="366">
        <f t="shared" si="5"/>
        <v>69</v>
      </c>
      <c r="S8">
        <f t="shared" si="0"/>
        <v>56</v>
      </c>
      <c r="U8">
        <f t="shared" si="1"/>
        <v>0</v>
      </c>
      <c r="V8">
        <f t="shared" si="2"/>
        <v>56</v>
      </c>
      <c r="W8">
        <f t="shared" si="3"/>
        <v>0</v>
      </c>
      <c r="X8">
        <f t="shared" si="4"/>
        <v>0</v>
      </c>
      <c r="Z8">
        <f t="shared" si="6"/>
        <v>1</v>
      </c>
      <c r="AA8">
        <f t="shared" si="7"/>
        <v>0</v>
      </c>
      <c r="AB8">
        <f t="shared" si="8"/>
        <v>0</v>
      </c>
      <c r="AC8">
        <f t="shared" si="9"/>
        <v>0</v>
      </c>
      <c r="AE8">
        <f t="shared" si="10"/>
        <v>5</v>
      </c>
      <c r="AF8">
        <f t="shared" si="11"/>
        <v>0</v>
      </c>
      <c r="AG8">
        <f t="shared" si="12"/>
        <v>5</v>
      </c>
      <c r="AH8">
        <f t="shared" si="13"/>
        <v>0</v>
      </c>
      <c r="AI8">
        <f t="shared" si="14"/>
        <v>0</v>
      </c>
      <c r="AK8">
        <f t="shared" si="15"/>
        <v>0</v>
      </c>
      <c r="AL8">
        <f t="shared" si="16"/>
        <v>0</v>
      </c>
      <c r="AM8">
        <f t="shared" si="17"/>
        <v>0</v>
      </c>
    </row>
    <row r="9" spans="1:39" ht="12.75">
      <c r="A9" s="395">
        <v>5</v>
      </c>
      <c r="B9" s="395" t="s">
        <v>101</v>
      </c>
      <c r="C9" s="377" t="s">
        <v>112</v>
      </c>
      <c r="D9" s="377" t="s">
        <v>300</v>
      </c>
      <c r="E9" s="377">
        <v>2</v>
      </c>
      <c r="F9" s="377"/>
      <c r="G9" s="377">
        <v>1</v>
      </c>
      <c r="H9" s="377"/>
      <c r="I9" s="377" t="s">
        <v>81</v>
      </c>
      <c r="J9" s="377">
        <v>4</v>
      </c>
      <c r="K9" s="377"/>
      <c r="L9" s="377"/>
      <c r="M9" s="377"/>
      <c r="N9" s="376"/>
      <c r="O9" s="376"/>
      <c r="P9" s="376"/>
      <c r="R9" s="366">
        <f t="shared" si="5"/>
        <v>58</v>
      </c>
      <c r="S9">
        <f t="shared" si="0"/>
        <v>42</v>
      </c>
      <c r="U9">
        <f t="shared" si="1"/>
        <v>0</v>
      </c>
      <c r="V9">
        <f t="shared" si="2"/>
        <v>42</v>
      </c>
      <c r="W9">
        <f t="shared" si="3"/>
        <v>0</v>
      </c>
      <c r="X9">
        <f t="shared" si="4"/>
        <v>0</v>
      </c>
      <c r="Z9">
        <f t="shared" si="6"/>
        <v>1</v>
      </c>
      <c r="AA9">
        <f t="shared" si="7"/>
        <v>0</v>
      </c>
      <c r="AB9">
        <f t="shared" si="8"/>
        <v>0</v>
      </c>
      <c r="AC9">
        <f t="shared" si="9"/>
        <v>0</v>
      </c>
      <c r="AE9">
        <f t="shared" si="10"/>
        <v>4</v>
      </c>
      <c r="AF9">
        <f t="shared" si="11"/>
        <v>0</v>
      </c>
      <c r="AG9">
        <f t="shared" si="12"/>
        <v>4</v>
      </c>
      <c r="AH9">
        <f t="shared" si="13"/>
        <v>0</v>
      </c>
      <c r="AI9">
        <f t="shared" si="14"/>
        <v>0</v>
      </c>
      <c r="AK9">
        <f t="shared" si="15"/>
        <v>0</v>
      </c>
      <c r="AL9">
        <f t="shared" si="16"/>
        <v>0</v>
      </c>
      <c r="AM9">
        <f t="shared" si="17"/>
        <v>0</v>
      </c>
    </row>
    <row r="10" spans="1:39" ht="12.75">
      <c r="A10" s="395">
        <v>6</v>
      </c>
      <c r="B10" s="395" t="s">
        <v>102</v>
      </c>
      <c r="C10" s="377" t="s">
        <v>112</v>
      </c>
      <c r="D10" s="377" t="s">
        <v>300</v>
      </c>
      <c r="E10" s="377">
        <v>2</v>
      </c>
      <c r="F10" s="377"/>
      <c r="G10" s="377">
        <v>1</v>
      </c>
      <c r="H10" s="377"/>
      <c r="I10" s="377" t="s">
        <v>81</v>
      </c>
      <c r="J10" s="377">
        <v>4</v>
      </c>
      <c r="K10" s="377"/>
      <c r="L10" s="377"/>
      <c r="M10" s="377"/>
      <c r="N10" s="376"/>
      <c r="O10" s="376"/>
      <c r="P10" s="376"/>
      <c r="R10" s="366">
        <f t="shared" si="5"/>
        <v>58</v>
      </c>
      <c r="S10">
        <f t="shared" si="0"/>
        <v>42</v>
      </c>
      <c r="U10">
        <f t="shared" si="1"/>
        <v>0</v>
      </c>
      <c r="V10">
        <f t="shared" si="2"/>
        <v>42</v>
      </c>
      <c r="W10">
        <f t="shared" si="3"/>
        <v>0</v>
      </c>
      <c r="X10">
        <f t="shared" si="4"/>
        <v>0</v>
      </c>
      <c r="Z10">
        <f t="shared" si="6"/>
        <v>1</v>
      </c>
      <c r="AA10">
        <f t="shared" si="7"/>
        <v>0</v>
      </c>
      <c r="AB10">
        <f t="shared" si="8"/>
        <v>0</v>
      </c>
      <c r="AC10">
        <f t="shared" si="9"/>
        <v>0</v>
      </c>
      <c r="AE10">
        <f t="shared" si="10"/>
        <v>4</v>
      </c>
      <c r="AF10">
        <f t="shared" si="11"/>
        <v>0</v>
      </c>
      <c r="AG10">
        <f t="shared" si="12"/>
        <v>4</v>
      </c>
      <c r="AH10">
        <f t="shared" si="13"/>
        <v>0</v>
      </c>
      <c r="AI10">
        <f t="shared" si="14"/>
        <v>0</v>
      </c>
      <c r="AK10">
        <f t="shared" si="15"/>
        <v>0</v>
      </c>
      <c r="AL10">
        <f t="shared" si="16"/>
        <v>0</v>
      </c>
      <c r="AM10">
        <f t="shared" si="17"/>
        <v>0</v>
      </c>
    </row>
    <row r="11" spans="1:39" ht="12.75">
      <c r="A11" s="395">
        <v>7</v>
      </c>
      <c r="B11" s="395" t="s">
        <v>133</v>
      </c>
      <c r="C11" s="377" t="s">
        <v>82</v>
      </c>
      <c r="D11" s="377" t="s">
        <v>300</v>
      </c>
      <c r="E11" s="377">
        <v>2</v>
      </c>
      <c r="F11" s="377"/>
      <c r="G11" s="377">
        <v>2</v>
      </c>
      <c r="H11" s="377"/>
      <c r="I11" s="377" t="s">
        <v>9</v>
      </c>
      <c r="J11" s="377">
        <v>4</v>
      </c>
      <c r="K11" s="377"/>
      <c r="L11" s="377"/>
      <c r="M11" s="377"/>
      <c r="N11" s="376"/>
      <c r="O11" s="376"/>
      <c r="P11" s="376"/>
      <c r="Q11" s="82"/>
      <c r="R11" s="366">
        <f t="shared" si="5"/>
        <v>44</v>
      </c>
      <c r="S11">
        <f>SUM(E11:H11)*14+SUM(K11:N11)*14</f>
        <v>56</v>
      </c>
      <c r="U11">
        <f t="shared" si="1"/>
        <v>56</v>
      </c>
      <c r="V11">
        <f t="shared" si="2"/>
        <v>0</v>
      </c>
      <c r="W11">
        <f t="shared" si="3"/>
        <v>0</v>
      </c>
      <c r="X11">
        <f t="shared" si="4"/>
        <v>0</v>
      </c>
      <c r="Z11">
        <f>IF(I11="E",1,0)</f>
        <v>0</v>
      </c>
      <c r="AA11">
        <f>IF(I11="C",1,0)</f>
        <v>1</v>
      </c>
      <c r="AB11">
        <f>IF(O11="E",1,0)</f>
        <v>0</v>
      </c>
      <c r="AC11">
        <f>IF(O11="C",1,0)</f>
        <v>0</v>
      </c>
      <c r="AE11">
        <f t="shared" si="10"/>
        <v>4</v>
      </c>
      <c r="AF11">
        <f t="shared" si="11"/>
        <v>4</v>
      </c>
      <c r="AG11">
        <f t="shared" si="12"/>
        <v>0</v>
      </c>
      <c r="AH11">
        <f t="shared" si="13"/>
        <v>0</v>
      </c>
      <c r="AI11">
        <f t="shared" si="14"/>
        <v>0</v>
      </c>
      <c r="AK11">
        <f t="shared" si="15"/>
        <v>0</v>
      </c>
      <c r="AL11">
        <f t="shared" si="16"/>
        <v>0</v>
      </c>
      <c r="AM11">
        <f t="shared" si="17"/>
        <v>0</v>
      </c>
    </row>
    <row r="12" spans="1:39" ht="12.75">
      <c r="A12" s="395">
        <v>8</v>
      </c>
      <c r="B12" s="396" t="s">
        <v>103</v>
      </c>
      <c r="C12" s="377" t="s">
        <v>85</v>
      </c>
      <c r="D12" s="377" t="s">
        <v>300</v>
      </c>
      <c r="E12" s="377"/>
      <c r="F12" s="377">
        <v>1</v>
      </c>
      <c r="G12" s="377"/>
      <c r="H12" s="377"/>
      <c r="I12" s="377" t="s">
        <v>9</v>
      </c>
      <c r="J12" s="377">
        <v>1</v>
      </c>
      <c r="K12" s="377"/>
      <c r="L12" s="377"/>
      <c r="M12" s="377"/>
      <c r="N12" s="376"/>
      <c r="O12" s="376"/>
      <c r="P12" s="376"/>
      <c r="Q12" s="82"/>
      <c r="R12" s="366">
        <f t="shared" si="5"/>
        <v>11</v>
      </c>
      <c r="S12">
        <f t="shared" si="0"/>
        <v>14</v>
      </c>
      <c r="U12">
        <f t="shared" si="1"/>
        <v>0</v>
      </c>
      <c r="V12">
        <f t="shared" si="2"/>
        <v>0</v>
      </c>
      <c r="W12">
        <f t="shared" si="3"/>
        <v>0</v>
      </c>
      <c r="X12">
        <f t="shared" si="4"/>
        <v>14</v>
      </c>
      <c r="Z12">
        <f t="shared" si="6"/>
        <v>0</v>
      </c>
      <c r="AA12">
        <f t="shared" si="7"/>
        <v>1</v>
      </c>
      <c r="AB12">
        <f t="shared" si="8"/>
        <v>0</v>
      </c>
      <c r="AC12">
        <f t="shared" si="9"/>
        <v>0</v>
      </c>
      <c r="AE12">
        <f t="shared" si="10"/>
        <v>1</v>
      </c>
      <c r="AF12">
        <f t="shared" si="11"/>
        <v>0</v>
      </c>
      <c r="AG12">
        <f t="shared" si="12"/>
        <v>0</v>
      </c>
      <c r="AH12">
        <f t="shared" si="13"/>
        <v>0</v>
      </c>
      <c r="AI12">
        <f t="shared" si="14"/>
        <v>1</v>
      </c>
      <c r="AK12">
        <f t="shared" si="15"/>
        <v>0</v>
      </c>
      <c r="AL12">
        <f t="shared" si="16"/>
        <v>0</v>
      </c>
      <c r="AM12">
        <f t="shared" si="17"/>
        <v>0</v>
      </c>
    </row>
    <row r="13" spans="1:39" ht="12.75">
      <c r="A13" s="395">
        <v>9</v>
      </c>
      <c r="B13" s="395" t="s">
        <v>313</v>
      </c>
      <c r="C13" s="377" t="s">
        <v>82</v>
      </c>
      <c r="D13" s="377" t="s">
        <v>300</v>
      </c>
      <c r="E13" s="377"/>
      <c r="F13" s="377"/>
      <c r="G13" s="377"/>
      <c r="H13" s="377"/>
      <c r="I13" s="377"/>
      <c r="J13" s="377"/>
      <c r="K13" s="377"/>
      <c r="L13" s="377"/>
      <c r="M13" s="377"/>
      <c r="N13" s="377">
        <v>2</v>
      </c>
      <c r="O13" s="377" t="s">
        <v>9</v>
      </c>
      <c r="P13" s="377">
        <v>2</v>
      </c>
      <c r="Q13" s="397"/>
      <c r="R13" s="366">
        <f t="shared" si="5"/>
        <v>22</v>
      </c>
      <c r="S13">
        <f t="shared" si="0"/>
        <v>28</v>
      </c>
      <c r="U13">
        <f t="shared" si="1"/>
        <v>28</v>
      </c>
      <c r="V13">
        <f t="shared" si="2"/>
        <v>0</v>
      </c>
      <c r="W13">
        <f t="shared" si="3"/>
        <v>0</v>
      </c>
      <c r="X13">
        <f t="shared" si="4"/>
        <v>0</v>
      </c>
      <c r="Z13">
        <f t="shared" si="6"/>
        <v>0</v>
      </c>
      <c r="AA13">
        <f t="shared" si="7"/>
        <v>0</v>
      </c>
      <c r="AB13">
        <f t="shared" si="8"/>
        <v>0</v>
      </c>
      <c r="AC13">
        <f t="shared" si="9"/>
        <v>1</v>
      </c>
      <c r="AE13">
        <f t="shared" si="10"/>
        <v>2</v>
      </c>
      <c r="AF13">
        <f t="shared" si="11"/>
        <v>2</v>
      </c>
      <c r="AG13">
        <f t="shared" si="12"/>
        <v>0</v>
      </c>
      <c r="AH13">
        <f t="shared" si="13"/>
        <v>0</v>
      </c>
      <c r="AI13">
        <f t="shared" si="14"/>
        <v>0</v>
      </c>
      <c r="AK13">
        <f t="shared" si="15"/>
        <v>1</v>
      </c>
      <c r="AL13">
        <f t="shared" si="16"/>
        <v>0</v>
      </c>
      <c r="AM13">
        <f t="shared" si="17"/>
        <v>1</v>
      </c>
    </row>
    <row r="14" spans="1:39" s="82" customFormat="1" ht="12.75">
      <c r="A14" s="395">
        <v>10</v>
      </c>
      <c r="B14" s="395" t="s">
        <v>115</v>
      </c>
      <c r="C14" s="377" t="s">
        <v>112</v>
      </c>
      <c r="D14" s="377" t="s">
        <v>300</v>
      </c>
      <c r="E14" s="377"/>
      <c r="F14" s="377"/>
      <c r="G14" s="377"/>
      <c r="H14" s="377"/>
      <c r="I14" s="377"/>
      <c r="J14" s="377"/>
      <c r="K14" s="377"/>
      <c r="L14" s="377"/>
      <c r="M14" s="377"/>
      <c r="N14" s="377">
        <v>2</v>
      </c>
      <c r="O14" s="377" t="s">
        <v>9</v>
      </c>
      <c r="P14" s="377">
        <v>2</v>
      </c>
      <c r="Q14" s="397"/>
      <c r="R14" s="366">
        <f t="shared" si="5"/>
        <v>22</v>
      </c>
      <c r="S14">
        <f t="shared" si="0"/>
        <v>28</v>
      </c>
      <c r="U14" s="82">
        <f t="shared" si="1"/>
        <v>0</v>
      </c>
      <c r="V14" s="82">
        <f t="shared" si="2"/>
        <v>28</v>
      </c>
      <c r="W14" s="82">
        <f t="shared" si="3"/>
        <v>0</v>
      </c>
      <c r="X14" s="82">
        <f t="shared" si="4"/>
        <v>0</v>
      </c>
      <c r="Z14" s="82">
        <f t="shared" si="6"/>
        <v>0</v>
      </c>
      <c r="AA14" s="82">
        <f t="shared" si="7"/>
        <v>0</v>
      </c>
      <c r="AB14" s="82">
        <f t="shared" si="8"/>
        <v>0</v>
      </c>
      <c r="AC14" s="82">
        <f t="shared" si="9"/>
        <v>1</v>
      </c>
      <c r="AE14" s="82">
        <f t="shared" si="10"/>
        <v>2</v>
      </c>
      <c r="AF14" s="82">
        <f t="shared" si="11"/>
        <v>0</v>
      </c>
      <c r="AG14" s="82">
        <f t="shared" si="12"/>
        <v>2</v>
      </c>
      <c r="AH14" s="82">
        <f t="shared" si="13"/>
        <v>0</v>
      </c>
      <c r="AI14" s="82">
        <f t="shared" si="14"/>
        <v>0</v>
      </c>
      <c r="AK14" s="82">
        <f t="shared" si="15"/>
        <v>1</v>
      </c>
      <c r="AL14" s="82">
        <f t="shared" si="16"/>
        <v>0</v>
      </c>
      <c r="AM14" s="82">
        <f t="shared" si="17"/>
        <v>1</v>
      </c>
    </row>
    <row r="15" spans="1:39" ht="12.75">
      <c r="A15" s="395">
        <v>11</v>
      </c>
      <c r="B15" s="398" t="s">
        <v>104</v>
      </c>
      <c r="C15" s="377" t="s">
        <v>112</v>
      </c>
      <c r="D15" s="377" t="s">
        <v>300</v>
      </c>
      <c r="E15" s="377"/>
      <c r="F15" s="377"/>
      <c r="G15" s="377"/>
      <c r="H15" s="377"/>
      <c r="I15" s="377"/>
      <c r="J15" s="377"/>
      <c r="K15" s="377">
        <v>2</v>
      </c>
      <c r="L15" s="377">
        <v>2</v>
      </c>
      <c r="M15" s="377">
        <v>1</v>
      </c>
      <c r="N15" s="377"/>
      <c r="O15" s="377" t="s">
        <v>81</v>
      </c>
      <c r="P15" s="377">
        <v>4</v>
      </c>
      <c r="Q15" s="397"/>
      <c r="R15" s="366">
        <f t="shared" si="5"/>
        <v>30</v>
      </c>
      <c r="S15">
        <f t="shared" si="0"/>
        <v>70</v>
      </c>
      <c r="U15">
        <f t="shared" si="1"/>
        <v>0</v>
      </c>
      <c r="V15">
        <f t="shared" si="2"/>
        <v>70</v>
      </c>
      <c r="W15">
        <f t="shared" si="3"/>
        <v>0</v>
      </c>
      <c r="X15">
        <f t="shared" si="4"/>
        <v>0</v>
      </c>
      <c r="Z15">
        <f t="shared" si="6"/>
        <v>0</v>
      </c>
      <c r="AA15">
        <f t="shared" si="7"/>
        <v>0</v>
      </c>
      <c r="AB15">
        <f t="shared" si="8"/>
        <v>1</v>
      </c>
      <c r="AC15">
        <f t="shared" si="9"/>
        <v>0</v>
      </c>
      <c r="AE15">
        <f t="shared" si="10"/>
        <v>4</v>
      </c>
      <c r="AF15">
        <f t="shared" si="11"/>
        <v>0</v>
      </c>
      <c r="AG15">
        <f t="shared" si="12"/>
        <v>4</v>
      </c>
      <c r="AH15">
        <f t="shared" si="13"/>
        <v>0</v>
      </c>
      <c r="AI15">
        <f t="shared" si="14"/>
        <v>0</v>
      </c>
      <c r="AK15">
        <f t="shared" si="15"/>
        <v>0</v>
      </c>
      <c r="AL15">
        <f t="shared" si="16"/>
        <v>0</v>
      </c>
      <c r="AM15">
        <f t="shared" si="17"/>
        <v>0</v>
      </c>
    </row>
    <row r="16" spans="1:39" ht="12.75">
      <c r="A16" s="395">
        <v>12</v>
      </c>
      <c r="B16" s="395" t="s">
        <v>105</v>
      </c>
      <c r="C16" s="377" t="s">
        <v>112</v>
      </c>
      <c r="D16" s="377" t="s">
        <v>300</v>
      </c>
      <c r="E16" s="377"/>
      <c r="F16" s="377"/>
      <c r="G16" s="377"/>
      <c r="H16" s="377"/>
      <c r="I16" s="377"/>
      <c r="J16" s="377"/>
      <c r="K16" s="377">
        <v>2</v>
      </c>
      <c r="L16" s="377">
        <v>2</v>
      </c>
      <c r="M16" s="377">
        <v>2</v>
      </c>
      <c r="N16" s="377"/>
      <c r="O16" s="377" t="s">
        <v>81</v>
      </c>
      <c r="P16" s="377">
        <v>6</v>
      </c>
      <c r="Q16" s="397"/>
      <c r="R16" s="366">
        <f t="shared" si="5"/>
        <v>66</v>
      </c>
      <c r="S16">
        <f t="shared" si="0"/>
        <v>84</v>
      </c>
      <c r="U16">
        <f t="shared" si="1"/>
        <v>0</v>
      </c>
      <c r="V16">
        <f t="shared" si="2"/>
        <v>84</v>
      </c>
      <c r="W16">
        <f t="shared" si="3"/>
        <v>0</v>
      </c>
      <c r="X16">
        <f t="shared" si="4"/>
        <v>0</v>
      </c>
      <c r="Z16">
        <f t="shared" si="6"/>
        <v>0</v>
      </c>
      <c r="AA16">
        <f t="shared" si="7"/>
        <v>0</v>
      </c>
      <c r="AB16">
        <f t="shared" si="8"/>
        <v>1</v>
      </c>
      <c r="AC16">
        <f t="shared" si="9"/>
        <v>0</v>
      </c>
      <c r="AE16">
        <f t="shared" si="10"/>
        <v>6</v>
      </c>
      <c r="AF16">
        <f t="shared" si="11"/>
        <v>0</v>
      </c>
      <c r="AG16">
        <f t="shared" si="12"/>
        <v>6</v>
      </c>
      <c r="AH16">
        <f t="shared" si="13"/>
        <v>0</v>
      </c>
      <c r="AI16">
        <f t="shared" si="14"/>
        <v>0</v>
      </c>
      <c r="AK16">
        <f t="shared" si="15"/>
        <v>0</v>
      </c>
      <c r="AL16">
        <f t="shared" si="16"/>
        <v>0</v>
      </c>
      <c r="AM16">
        <f t="shared" si="17"/>
        <v>0</v>
      </c>
    </row>
    <row r="17" spans="1:39" ht="12.75">
      <c r="A17" s="395">
        <v>13</v>
      </c>
      <c r="B17" s="395" t="s">
        <v>106</v>
      </c>
      <c r="C17" s="377" t="s">
        <v>112</v>
      </c>
      <c r="D17" s="377" t="s">
        <v>300</v>
      </c>
      <c r="E17" s="377"/>
      <c r="F17" s="377"/>
      <c r="G17" s="377"/>
      <c r="H17" s="377"/>
      <c r="I17" s="377"/>
      <c r="J17" s="377"/>
      <c r="K17" s="377">
        <v>2</v>
      </c>
      <c r="L17" s="377">
        <v>1</v>
      </c>
      <c r="M17" s="377">
        <v>1</v>
      </c>
      <c r="N17" s="377"/>
      <c r="O17" s="377" t="s">
        <v>81</v>
      </c>
      <c r="P17" s="377">
        <v>4</v>
      </c>
      <c r="Q17" s="397"/>
      <c r="R17" s="366">
        <f t="shared" si="5"/>
        <v>44</v>
      </c>
      <c r="S17">
        <f t="shared" si="0"/>
        <v>56</v>
      </c>
      <c r="U17">
        <f t="shared" si="1"/>
        <v>0</v>
      </c>
      <c r="V17">
        <f t="shared" si="2"/>
        <v>56</v>
      </c>
      <c r="W17">
        <f t="shared" si="3"/>
        <v>0</v>
      </c>
      <c r="X17">
        <f t="shared" si="4"/>
        <v>0</v>
      </c>
      <c r="Z17">
        <f t="shared" si="6"/>
        <v>0</v>
      </c>
      <c r="AA17">
        <f t="shared" si="7"/>
        <v>0</v>
      </c>
      <c r="AB17">
        <f t="shared" si="8"/>
        <v>1</v>
      </c>
      <c r="AC17">
        <f t="shared" si="9"/>
        <v>0</v>
      </c>
      <c r="AE17">
        <f t="shared" si="10"/>
        <v>4</v>
      </c>
      <c r="AF17">
        <f t="shared" si="11"/>
        <v>0</v>
      </c>
      <c r="AG17">
        <f t="shared" si="12"/>
        <v>4</v>
      </c>
      <c r="AH17">
        <f t="shared" si="13"/>
        <v>0</v>
      </c>
      <c r="AI17">
        <f t="shared" si="14"/>
        <v>0</v>
      </c>
      <c r="AK17">
        <f t="shared" si="15"/>
        <v>0</v>
      </c>
      <c r="AL17">
        <f t="shared" si="16"/>
        <v>0</v>
      </c>
      <c r="AM17">
        <f t="shared" si="17"/>
        <v>0</v>
      </c>
    </row>
    <row r="18" spans="1:39" ht="26.25">
      <c r="A18" s="395">
        <v>14</v>
      </c>
      <c r="B18" s="398" t="s">
        <v>118</v>
      </c>
      <c r="C18" s="377" t="s">
        <v>112</v>
      </c>
      <c r="D18" s="377" t="s">
        <v>300</v>
      </c>
      <c r="E18" s="377"/>
      <c r="F18" s="377"/>
      <c r="G18" s="377"/>
      <c r="H18" s="377"/>
      <c r="I18" s="377"/>
      <c r="J18" s="377"/>
      <c r="K18" s="377">
        <v>2</v>
      </c>
      <c r="L18" s="377"/>
      <c r="M18" s="377">
        <v>1</v>
      </c>
      <c r="N18" s="377"/>
      <c r="O18" s="377" t="s">
        <v>81</v>
      </c>
      <c r="P18" s="377">
        <v>4</v>
      </c>
      <c r="Q18" s="397"/>
      <c r="R18" s="366">
        <f t="shared" si="5"/>
        <v>58</v>
      </c>
      <c r="S18">
        <f t="shared" si="0"/>
        <v>42</v>
      </c>
      <c r="U18">
        <f t="shared" si="1"/>
        <v>0</v>
      </c>
      <c r="V18">
        <f t="shared" si="2"/>
        <v>42</v>
      </c>
      <c r="W18">
        <f t="shared" si="3"/>
        <v>0</v>
      </c>
      <c r="X18">
        <f t="shared" si="4"/>
        <v>0</v>
      </c>
      <c r="Z18">
        <f t="shared" si="6"/>
        <v>0</v>
      </c>
      <c r="AA18">
        <f t="shared" si="7"/>
        <v>0</v>
      </c>
      <c r="AB18">
        <f t="shared" si="8"/>
        <v>1</v>
      </c>
      <c r="AC18">
        <f t="shared" si="9"/>
        <v>0</v>
      </c>
      <c r="AE18">
        <f t="shared" si="10"/>
        <v>4</v>
      </c>
      <c r="AF18">
        <f t="shared" si="11"/>
        <v>0</v>
      </c>
      <c r="AG18">
        <f t="shared" si="12"/>
        <v>4</v>
      </c>
      <c r="AH18">
        <f t="shared" si="13"/>
        <v>0</v>
      </c>
      <c r="AI18">
        <f t="shared" si="14"/>
        <v>0</v>
      </c>
      <c r="AK18">
        <f t="shared" si="15"/>
        <v>0</v>
      </c>
      <c r="AL18">
        <f t="shared" si="16"/>
        <v>0</v>
      </c>
      <c r="AM18">
        <f t="shared" si="17"/>
        <v>0</v>
      </c>
    </row>
    <row r="19" spans="1:39" ht="12.75">
      <c r="A19" s="395">
        <v>15</v>
      </c>
      <c r="B19" s="395" t="s">
        <v>120</v>
      </c>
      <c r="C19" s="377" t="s">
        <v>112</v>
      </c>
      <c r="D19" s="377" t="s">
        <v>300</v>
      </c>
      <c r="E19" s="377"/>
      <c r="F19" s="377"/>
      <c r="G19" s="377"/>
      <c r="H19" s="377"/>
      <c r="I19" s="377"/>
      <c r="J19" s="377"/>
      <c r="K19" s="377">
        <v>2</v>
      </c>
      <c r="L19" s="377"/>
      <c r="M19" s="377">
        <v>1</v>
      </c>
      <c r="N19" s="377"/>
      <c r="O19" s="377" t="s">
        <v>9</v>
      </c>
      <c r="P19" s="377">
        <v>3</v>
      </c>
      <c r="Q19" s="397"/>
      <c r="R19" s="366">
        <f t="shared" si="5"/>
        <v>33</v>
      </c>
      <c r="S19">
        <f t="shared" si="0"/>
        <v>42</v>
      </c>
      <c r="U19">
        <f t="shared" si="1"/>
        <v>0</v>
      </c>
      <c r="V19">
        <f t="shared" si="2"/>
        <v>42</v>
      </c>
      <c r="W19">
        <f t="shared" si="3"/>
        <v>0</v>
      </c>
      <c r="X19">
        <f t="shared" si="4"/>
        <v>0</v>
      </c>
      <c r="Z19">
        <f t="shared" si="6"/>
        <v>0</v>
      </c>
      <c r="AA19">
        <f t="shared" si="7"/>
        <v>0</v>
      </c>
      <c r="AB19">
        <f t="shared" si="8"/>
        <v>0</v>
      </c>
      <c r="AC19">
        <f t="shared" si="9"/>
        <v>1</v>
      </c>
      <c r="AE19">
        <f t="shared" si="10"/>
        <v>3</v>
      </c>
      <c r="AF19">
        <f t="shared" si="11"/>
        <v>0</v>
      </c>
      <c r="AG19">
        <f t="shared" si="12"/>
        <v>3</v>
      </c>
      <c r="AH19">
        <f t="shared" si="13"/>
        <v>0</v>
      </c>
      <c r="AI19">
        <f t="shared" si="14"/>
        <v>0</v>
      </c>
      <c r="AK19">
        <f t="shared" si="15"/>
        <v>0</v>
      </c>
      <c r="AL19">
        <f t="shared" si="16"/>
        <v>0</v>
      </c>
      <c r="AM19">
        <f t="shared" si="17"/>
        <v>0</v>
      </c>
    </row>
    <row r="20" spans="1:39" ht="12.75">
      <c r="A20" s="395">
        <v>16</v>
      </c>
      <c r="B20" s="396" t="s">
        <v>107</v>
      </c>
      <c r="C20" s="377" t="s">
        <v>85</v>
      </c>
      <c r="D20" s="377" t="s">
        <v>300</v>
      </c>
      <c r="E20" s="397"/>
      <c r="F20" s="377"/>
      <c r="G20" s="397"/>
      <c r="H20" s="377"/>
      <c r="I20" s="377"/>
      <c r="J20" s="377"/>
      <c r="K20" s="377"/>
      <c r="L20" s="377">
        <v>1</v>
      </c>
      <c r="M20" s="377"/>
      <c r="N20" s="377"/>
      <c r="O20" s="377" t="s">
        <v>9</v>
      </c>
      <c r="P20" s="377">
        <v>1</v>
      </c>
      <c r="Q20" s="397"/>
      <c r="R20" s="366">
        <f t="shared" si="5"/>
        <v>11</v>
      </c>
      <c r="S20">
        <f>SUM(E20:H20)*14+SUM(K20:N20)*14</f>
        <v>14</v>
      </c>
      <c r="U20">
        <f t="shared" si="1"/>
        <v>0</v>
      </c>
      <c r="V20">
        <f t="shared" si="2"/>
        <v>0</v>
      </c>
      <c r="W20">
        <f t="shared" si="3"/>
        <v>0</v>
      </c>
      <c r="X20">
        <f t="shared" si="4"/>
        <v>14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1</v>
      </c>
      <c r="AE20">
        <f t="shared" si="10"/>
        <v>1</v>
      </c>
      <c r="AF20">
        <f t="shared" si="11"/>
        <v>0</v>
      </c>
      <c r="AG20">
        <f t="shared" si="12"/>
        <v>0</v>
      </c>
      <c r="AH20">
        <f t="shared" si="13"/>
        <v>0</v>
      </c>
      <c r="AI20">
        <f t="shared" si="14"/>
        <v>1</v>
      </c>
      <c r="AK20">
        <f t="shared" si="15"/>
        <v>0</v>
      </c>
      <c r="AL20">
        <f t="shared" si="16"/>
        <v>0</v>
      </c>
      <c r="AM20">
        <f t="shared" si="17"/>
        <v>0</v>
      </c>
    </row>
    <row r="21" spans="1:39" ht="12.75">
      <c r="A21" s="395">
        <v>10</v>
      </c>
      <c r="B21" s="395" t="s">
        <v>314</v>
      </c>
      <c r="C21" s="377" t="s">
        <v>112</v>
      </c>
      <c r="D21" s="377" t="s">
        <v>300</v>
      </c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 t="s">
        <v>9</v>
      </c>
      <c r="P21" s="377">
        <v>4</v>
      </c>
      <c r="Q21" s="397"/>
      <c r="R21" s="399">
        <f t="shared" si="5"/>
        <v>10</v>
      </c>
      <c r="S21" s="399">
        <f>3*30</f>
        <v>90</v>
      </c>
      <c r="U21">
        <f t="shared" si="1"/>
        <v>0</v>
      </c>
      <c r="V21">
        <f t="shared" si="2"/>
        <v>90</v>
      </c>
      <c r="W21">
        <f t="shared" si="3"/>
        <v>0</v>
      </c>
      <c r="X21">
        <f t="shared" si="4"/>
        <v>0</v>
      </c>
      <c r="Z21">
        <f>IF(I21="E",1,0)</f>
        <v>0</v>
      </c>
      <c r="AA21">
        <f>IF(I21="C",1,0)</f>
        <v>0</v>
      </c>
      <c r="AB21">
        <f>IF(O21="E",1,0)</f>
        <v>0</v>
      </c>
      <c r="AC21">
        <f>IF(O21="C",1,0)</f>
        <v>1</v>
      </c>
      <c r="AE21">
        <f>J21+P21</f>
        <v>4</v>
      </c>
      <c r="AF21">
        <f t="shared" si="11"/>
        <v>0</v>
      </c>
      <c r="AG21">
        <f t="shared" si="12"/>
        <v>4</v>
      </c>
      <c r="AH21">
        <f t="shared" si="13"/>
        <v>0</v>
      </c>
      <c r="AI21">
        <f t="shared" si="14"/>
        <v>0</v>
      </c>
      <c r="AK21">
        <f>AL21+AM21</f>
        <v>0</v>
      </c>
      <c r="AL21">
        <f>IF(H21&gt;0,1,0)</f>
        <v>0</v>
      </c>
      <c r="AM21">
        <f>IF(N21&gt;0,1,0)</f>
        <v>0</v>
      </c>
    </row>
    <row r="22" spans="1:39" ht="12.75">
      <c r="A22" s="395">
        <v>18</v>
      </c>
      <c r="B22" s="400"/>
      <c r="C22" s="377"/>
      <c r="D22" s="377"/>
      <c r="E22" s="377"/>
      <c r="F22" s="377"/>
      <c r="G22" s="377"/>
      <c r="H22" s="377"/>
      <c r="I22" s="377"/>
      <c r="J22" s="377"/>
      <c r="K22" s="377"/>
      <c r="L22" s="377"/>
      <c r="M22" s="377"/>
      <c r="N22" s="376"/>
      <c r="O22" s="376"/>
      <c r="P22" s="376"/>
      <c r="R22" s="366">
        <f>(J22+P22)*$R$1-S22</f>
        <v>0</v>
      </c>
      <c r="S22">
        <f t="shared" si="0"/>
        <v>0</v>
      </c>
      <c r="U22">
        <f t="shared" si="1"/>
        <v>0</v>
      </c>
      <c r="V22">
        <f t="shared" si="2"/>
        <v>0</v>
      </c>
      <c r="W22">
        <f t="shared" si="3"/>
        <v>0</v>
      </c>
      <c r="X22">
        <f t="shared" si="4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0</v>
      </c>
      <c r="AH22">
        <f t="shared" si="13"/>
        <v>0</v>
      </c>
      <c r="AI22">
        <f t="shared" si="14"/>
        <v>0</v>
      </c>
      <c r="AK22">
        <f t="shared" si="15"/>
        <v>0</v>
      </c>
      <c r="AL22">
        <f t="shared" si="16"/>
        <v>0</v>
      </c>
      <c r="AM22">
        <f t="shared" si="17"/>
        <v>0</v>
      </c>
    </row>
    <row r="23" spans="1:39" ht="12.75">
      <c r="A23" s="395">
        <v>19</v>
      </c>
      <c r="B23" s="400"/>
      <c r="C23" s="377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6"/>
      <c r="O23" s="376"/>
      <c r="P23" s="376"/>
      <c r="R23" s="366">
        <f>(J23+P23)*$R$1-S23</f>
        <v>0</v>
      </c>
      <c r="S23">
        <f t="shared" si="0"/>
        <v>0</v>
      </c>
      <c r="U23">
        <f t="shared" si="1"/>
        <v>0</v>
      </c>
      <c r="V23">
        <f t="shared" si="2"/>
        <v>0</v>
      </c>
      <c r="W23">
        <f t="shared" si="3"/>
        <v>0</v>
      </c>
      <c r="X23">
        <f t="shared" si="4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K23">
        <f t="shared" si="15"/>
        <v>0</v>
      </c>
      <c r="AL23">
        <f t="shared" si="16"/>
        <v>0</v>
      </c>
      <c r="AM23">
        <f t="shared" si="17"/>
        <v>0</v>
      </c>
    </row>
    <row r="24" spans="1:39" ht="12.75">
      <c r="A24" s="391">
        <v>20</v>
      </c>
      <c r="B24" s="374"/>
      <c r="C24" s="376"/>
      <c r="D24" s="376"/>
      <c r="E24" s="386"/>
      <c r="F24" s="386"/>
      <c r="G24" s="386"/>
      <c r="H24" s="386"/>
      <c r="I24" s="386"/>
      <c r="J24" s="386"/>
      <c r="K24" s="376"/>
      <c r="L24" s="376"/>
      <c r="M24" s="376"/>
      <c r="N24" s="376"/>
      <c r="O24" s="376"/>
      <c r="P24" s="376"/>
      <c r="R24" s="366">
        <f>(J24+P24)*$R$1-S24</f>
        <v>0</v>
      </c>
      <c r="S24">
        <f t="shared" si="0"/>
        <v>0</v>
      </c>
      <c r="U24">
        <f t="shared" si="1"/>
        <v>0</v>
      </c>
      <c r="V24">
        <f t="shared" si="2"/>
        <v>0</v>
      </c>
      <c r="W24">
        <f t="shared" si="3"/>
        <v>0</v>
      </c>
      <c r="X24">
        <f t="shared" si="4"/>
        <v>0</v>
      </c>
      <c r="Z24">
        <f t="shared" si="6"/>
        <v>0</v>
      </c>
      <c r="AA24">
        <f t="shared" si="7"/>
        <v>0</v>
      </c>
      <c r="AB24">
        <f t="shared" si="8"/>
        <v>0</v>
      </c>
      <c r="AC24">
        <f t="shared" si="9"/>
        <v>0</v>
      </c>
      <c r="AE24">
        <f t="shared" si="10"/>
        <v>0</v>
      </c>
      <c r="AF24">
        <f t="shared" si="11"/>
        <v>0</v>
      </c>
      <c r="AG24">
        <f t="shared" si="12"/>
        <v>0</v>
      </c>
      <c r="AH24">
        <f t="shared" si="13"/>
        <v>0</v>
      </c>
      <c r="AI24">
        <f t="shared" si="14"/>
        <v>0</v>
      </c>
      <c r="AK24">
        <f t="shared" si="15"/>
        <v>0</v>
      </c>
      <c r="AL24">
        <f t="shared" si="16"/>
        <v>0</v>
      </c>
      <c r="AM24">
        <f t="shared" si="17"/>
        <v>0</v>
      </c>
    </row>
    <row r="25" spans="2:18" ht="12.75">
      <c r="B25" s="387" t="s">
        <v>304</v>
      </c>
      <c r="D25" s="369"/>
      <c r="E25">
        <f>SUM(E5:E24)</f>
        <v>14</v>
      </c>
      <c r="F25">
        <f>SUM(F5:F24)</f>
        <v>6</v>
      </c>
      <c r="G25">
        <f>SUM(G5:G24)</f>
        <v>6</v>
      </c>
      <c r="H25">
        <f>SUM(H5:H24)</f>
        <v>0</v>
      </c>
      <c r="I25" s="388">
        <f>Z26</f>
        <v>6</v>
      </c>
      <c r="J25" s="369">
        <f>SUM(J5:J24)</f>
        <v>30</v>
      </c>
      <c r="K25">
        <f>SUM(K5:K24)</f>
        <v>10</v>
      </c>
      <c r="L25">
        <f>SUM(L5:L24)</f>
        <v>6</v>
      </c>
      <c r="M25">
        <f>SUM(M5:M24)</f>
        <v>6</v>
      </c>
      <c r="N25">
        <f>SUM(N5:N24)</f>
        <v>4</v>
      </c>
      <c r="O25" s="388">
        <f>AB26</f>
        <v>4</v>
      </c>
      <c r="P25" s="369">
        <f>SUM(P5:P24)</f>
        <v>30</v>
      </c>
      <c r="R25" s="366"/>
    </row>
    <row r="26" spans="2:29" ht="12.75">
      <c r="B26" s="387"/>
      <c r="D26" s="369"/>
      <c r="E26">
        <f>E25+F25+G25+H25</f>
        <v>26</v>
      </c>
      <c r="I26" s="388">
        <f>AA26</f>
        <v>2</v>
      </c>
      <c r="J26" s="369"/>
      <c r="K26">
        <f>K25+L25+M25+N25</f>
        <v>26</v>
      </c>
      <c r="O26" s="388">
        <f>AC26</f>
        <v>5</v>
      </c>
      <c r="P26" s="369"/>
      <c r="R26" s="366">
        <f>SUM(R5:R24)</f>
        <v>682</v>
      </c>
      <c r="S26">
        <f>SUM(S5:S24)</f>
        <v>818</v>
      </c>
      <c r="Z26">
        <f>SUM(Z5:Z24)</f>
        <v>6</v>
      </c>
      <c r="AA26">
        <f>SUM(AA5:AA24)</f>
        <v>2</v>
      </c>
      <c r="AB26">
        <f>SUM(AB5:AB24)</f>
        <v>4</v>
      </c>
      <c r="AC26">
        <f>SUM(AC5:AC24)</f>
        <v>5</v>
      </c>
    </row>
    <row r="27" spans="2:18" ht="12.75">
      <c r="B27" s="387"/>
      <c r="D27" s="17"/>
      <c r="I27" s="389" t="s">
        <v>305</v>
      </c>
      <c r="J27" s="17"/>
      <c r="O27" s="389" t="s">
        <v>305</v>
      </c>
      <c r="P27" s="17"/>
      <c r="R27" s="366"/>
    </row>
    <row r="28" ht="12.75">
      <c r="R28" s="366"/>
    </row>
    <row r="29" spans="1:18" ht="12.75">
      <c r="A29" s="372" t="s">
        <v>293</v>
      </c>
      <c r="B29" s="372" t="s">
        <v>13</v>
      </c>
      <c r="C29" s="372" t="s">
        <v>294</v>
      </c>
      <c r="D29" s="373" t="s">
        <v>295</v>
      </c>
      <c r="E29" s="372" t="s">
        <v>9</v>
      </c>
      <c r="F29" s="372" t="s">
        <v>10</v>
      </c>
      <c r="G29" s="372" t="s">
        <v>11</v>
      </c>
      <c r="H29" s="372" t="s">
        <v>12</v>
      </c>
      <c r="I29" s="372" t="s">
        <v>296</v>
      </c>
      <c r="J29" s="373" t="s">
        <v>297</v>
      </c>
      <c r="K29" s="372" t="s">
        <v>9</v>
      </c>
      <c r="L29" s="372" t="s">
        <v>10</v>
      </c>
      <c r="M29" s="372" t="s">
        <v>11</v>
      </c>
      <c r="N29" s="372" t="s">
        <v>12</v>
      </c>
      <c r="O29" s="372" t="s">
        <v>296</v>
      </c>
      <c r="P29" s="373" t="s">
        <v>297</v>
      </c>
      <c r="R29" s="366"/>
    </row>
    <row r="30" spans="1:39" ht="12.75">
      <c r="A30" s="374">
        <v>1</v>
      </c>
      <c r="B30" s="401"/>
      <c r="C30" s="376"/>
      <c r="D30" s="376"/>
      <c r="E30" s="376"/>
      <c r="F30" s="376"/>
      <c r="G30" s="376" t="s">
        <v>303</v>
      </c>
      <c r="H30" s="376"/>
      <c r="I30" s="376"/>
      <c r="J30" s="376"/>
      <c r="K30" s="376"/>
      <c r="L30" s="376"/>
      <c r="M30" s="376"/>
      <c r="N30" s="376"/>
      <c r="O30" s="376"/>
      <c r="P30" s="376"/>
      <c r="R30" s="366">
        <f>(J30+P30)*$R$1-S30</f>
        <v>0</v>
      </c>
      <c r="S30">
        <f>SUM(E30:H30)*14+SUM(K30:N30)*14</f>
        <v>0</v>
      </c>
      <c r="U30">
        <f aca="true" t="shared" si="18" ref="U30:U39">IF($C30="DF",1,0)*$S30</f>
        <v>0</v>
      </c>
      <c r="V30">
        <f aca="true" t="shared" si="19" ref="V30:V39">IF($C30="DD",1,0)*$S30</f>
        <v>0</v>
      </c>
      <c r="W30">
        <f aca="true" t="shared" si="20" ref="W30:W39">IF($C30="DS",1,0)*$S30</f>
        <v>0</v>
      </c>
      <c r="X30">
        <f aca="true" t="shared" si="21" ref="X30:X39">IF($C30="DC",1,0)*$S30</f>
        <v>0</v>
      </c>
      <c r="Z30">
        <f>IF(I30="E",1,0)</f>
        <v>0</v>
      </c>
      <c r="AA30">
        <f>IF(I30="C",1,0)</f>
        <v>0</v>
      </c>
      <c r="AB30">
        <f>IF(O30="E",1,0)</f>
        <v>0</v>
      </c>
      <c r="AC30">
        <f>IF(O30="C",1,0)</f>
        <v>0</v>
      </c>
      <c r="AE30">
        <f>J30+P30</f>
        <v>0</v>
      </c>
      <c r="AF30">
        <f aca="true" t="shared" si="22" ref="AF30:AF39">IF($C30="DF",1,0)*$AE30</f>
        <v>0</v>
      </c>
      <c r="AG30">
        <f aca="true" t="shared" si="23" ref="AG30:AG39">IF($C30="DD",1,0)*$AE30</f>
        <v>0</v>
      </c>
      <c r="AH30">
        <f aca="true" t="shared" si="24" ref="AH30:AH39">IF($C30="DS",1,0)*$AE30</f>
        <v>0</v>
      </c>
      <c r="AI30">
        <f aca="true" t="shared" si="25" ref="AI30:AI39">IF($C30="DC",1,0)*$AE30</f>
        <v>0</v>
      </c>
      <c r="AK30">
        <f aca="true" t="shared" si="26" ref="AK30:AK39">AL30+AM30</f>
        <v>0</v>
      </c>
      <c r="AL30">
        <f>IF(H30&gt;0,1,0)</f>
        <v>0</v>
      </c>
      <c r="AM30">
        <f>IF(N30&gt;0,1,0)</f>
        <v>0</v>
      </c>
    </row>
    <row r="31" spans="1:39" ht="12.75">
      <c r="A31" s="374">
        <v>2</v>
      </c>
      <c r="B31" s="402"/>
      <c r="C31" s="376"/>
      <c r="D31" s="376"/>
      <c r="E31" s="376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R31" s="366">
        <f>(J31+P31)*$R$1-S31</f>
        <v>0</v>
      </c>
      <c r="S31">
        <f aca="true" t="shared" si="27" ref="S31:S39">SUM(E31:H31)*14+SUM(K31:N31)*14</f>
        <v>0</v>
      </c>
      <c r="U31">
        <f t="shared" si="18"/>
        <v>0</v>
      </c>
      <c r="V31">
        <f t="shared" si="19"/>
        <v>0</v>
      </c>
      <c r="W31">
        <f t="shared" si="20"/>
        <v>0</v>
      </c>
      <c r="X31">
        <f t="shared" si="21"/>
        <v>0</v>
      </c>
      <c r="Z31">
        <f aca="true" t="shared" si="28" ref="Z31:Z39">IF(I31="E",1,0)</f>
        <v>0</v>
      </c>
      <c r="AA31">
        <f aca="true" t="shared" si="29" ref="AA31:AA39">IF(I31="C",1,0)</f>
        <v>0</v>
      </c>
      <c r="AB31">
        <f aca="true" t="shared" si="30" ref="AB31:AB39">IF(O31="E",1,0)</f>
        <v>0</v>
      </c>
      <c r="AC31">
        <f aca="true" t="shared" si="31" ref="AC31:AC39">IF(O31="C",1,0)</f>
        <v>0</v>
      </c>
      <c r="AE31">
        <f aca="true" t="shared" si="32" ref="AE31:AE39">J31+P31</f>
        <v>0</v>
      </c>
      <c r="AF31">
        <f t="shared" si="22"/>
        <v>0</v>
      </c>
      <c r="AG31">
        <f t="shared" si="23"/>
        <v>0</v>
      </c>
      <c r="AH31">
        <f t="shared" si="24"/>
        <v>0</v>
      </c>
      <c r="AI31">
        <f t="shared" si="25"/>
        <v>0</v>
      </c>
      <c r="AK31">
        <f t="shared" si="26"/>
        <v>0</v>
      </c>
      <c r="AL31">
        <f aca="true" t="shared" si="33" ref="AL31:AL39">IF(H31&gt;0,1,0)</f>
        <v>0</v>
      </c>
      <c r="AM31">
        <f aca="true" t="shared" si="34" ref="AM31:AM39">IF(N31&gt;0,1,0)</f>
        <v>0</v>
      </c>
    </row>
    <row r="32" spans="1:39" ht="16.5" customHeight="1">
      <c r="A32" s="391">
        <v>3</v>
      </c>
      <c r="B32" s="380"/>
      <c r="C32" s="376"/>
      <c r="D32" s="403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R32" s="366">
        <f aca="true" t="shared" si="35" ref="R32:R39">(J32+P32)*$R$1-S32</f>
        <v>0</v>
      </c>
      <c r="S32">
        <f t="shared" si="27"/>
        <v>0</v>
      </c>
      <c r="U32">
        <f t="shared" si="18"/>
        <v>0</v>
      </c>
      <c r="V32">
        <f t="shared" si="19"/>
        <v>0</v>
      </c>
      <c r="W32">
        <f t="shared" si="20"/>
        <v>0</v>
      </c>
      <c r="X32">
        <f t="shared" si="21"/>
        <v>0</v>
      </c>
      <c r="Z32">
        <f t="shared" si="28"/>
        <v>0</v>
      </c>
      <c r="AA32">
        <f t="shared" si="29"/>
        <v>0</v>
      </c>
      <c r="AB32">
        <f t="shared" si="30"/>
        <v>0</v>
      </c>
      <c r="AC32">
        <f t="shared" si="31"/>
        <v>0</v>
      </c>
      <c r="AE32">
        <f t="shared" si="32"/>
        <v>0</v>
      </c>
      <c r="AF32">
        <f t="shared" si="22"/>
        <v>0</v>
      </c>
      <c r="AG32">
        <f t="shared" si="23"/>
        <v>0</v>
      </c>
      <c r="AH32">
        <f t="shared" si="24"/>
        <v>0</v>
      </c>
      <c r="AI32">
        <f t="shared" si="25"/>
        <v>0</v>
      </c>
      <c r="AK32">
        <f t="shared" si="26"/>
        <v>0</v>
      </c>
      <c r="AL32">
        <f t="shared" si="33"/>
        <v>0</v>
      </c>
      <c r="AM32">
        <f t="shared" si="34"/>
        <v>0</v>
      </c>
    </row>
    <row r="33" spans="1:39" ht="12.75">
      <c r="A33" s="391">
        <v>4</v>
      </c>
      <c r="B33" s="391"/>
      <c r="C33" s="376"/>
      <c r="D33" s="391"/>
      <c r="E33" s="376"/>
      <c r="F33" s="376"/>
      <c r="G33" s="376"/>
      <c r="H33" s="376"/>
      <c r="I33" s="376"/>
      <c r="J33" s="376"/>
      <c r="K33" s="374"/>
      <c r="L33" s="374"/>
      <c r="M33" s="374"/>
      <c r="N33" s="374"/>
      <c r="O33" s="374"/>
      <c r="P33" s="374"/>
      <c r="R33" s="366">
        <f t="shared" si="35"/>
        <v>0</v>
      </c>
      <c r="S33">
        <f t="shared" si="27"/>
        <v>0</v>
      </c>
      <c r="U33">
        <f t="shared" si="18"/>
        <v>0</v>
      </c>
      <c r="V33">
        <f t="shared" si="19"/>
        <v>0</v>
      </c>
      <c r="W33">
        <f t="shared" si="20"/>
        <v>0</v>
      </c>
      <c r="X33">
        <f t="shared" si="21"/>
        <v>0</v>
      </c>
      <c r="Z33">
        <f t="shared" si="28"/>
        <v>0</v>
      </c>
      <c r="AA33">
        <f t="shared" si="29"/>
        <v>0</v>
      </c>
      <c r="AB33">
        <f t="shared" si="30"/>
        <v>0</v>
      </c>
      <c r="AC33">
        <f t="shared" si="31"/>
        <v>0</v>
      </c>
      <c r="AE33">
        <f t="shared" si="32"/>
        <v>0</v>
      </c>
      <c r="AF33">
        <f t="shared" si="22"/>
        <v>0</v>
      </c>
      <c r="AG33">
        <f t="shared" si="23"/>
        <v>0</v>
      </c>
      <c r="AH33">
        <f t="shared" si="24"/>
        <v>0</v>
      </c>
      <c r="AI33">
        <f t="shared" si="25"/>
        <v>0</v>
      </c>
      <c r="AK33">
        <f t="shared" si="26"/>
        <v>0</v>
      </c>
      <c r="AL33">
        <f t="shared" si="33"/>
        <v>0</v>
      </c>
      <c r="AM33">
        <f t="shared" si="34"/>
        <v>0</v>
      </c>
    </row>
    <row r="34" spans="1:39" ht="12.75">
      <c r="A34" s="391">
        <v>5</v>
      </c>
      <c r="B34" s="374"/>
      <c r="C34" s="376"/>
      <c r="D34" s="376"/>
      <c r="E34" s="376"/>
      <c r="F34" s="376"/>
      <c r="G34" s="376"/>
      <c r="H34" s="376"/>
      <c r="I34" s="376"/>
      <c r="J34" s="376"/>
      <c r="K34" s="374"/>
      <c r="L34" s="374"/>
      <c r="M34" s="374"/>
      <c r="N34" s="374"/>
      <c r="O34" s="374"/>
      <c r="P34" s="374"/>
      <c r="Q34" s="82"/>
      <c r="R34" s="366">
        <f t="shared" si="35"/>
        <v>0</v>
      </c>
      <c r="S34">
        <f t="shared" si="27"/>
        <v>0</v>
      </c>
      <c r="U34">
        <f t="shared" si="18"/>
        <v>0</v>
      </c>
      <c r="V34">
        <f t="shared" si="19"/>
        <v>0</v>
      </c>
      <c r="W34">
        <f t="shared" si="20"/>
        <v>0</v>
      </c>
      <c r="X34">
        <f t="shared" si="21"/>
        <v>0</v>
      </c>
      <c r="Z34">
        <f t="shared" si="28"/>
        <v>0</v>
      </c>
      <c r="AA34">
        <f t="shared" si="29"/>
        <v>0</v>
      </c>
      <c r="AB34">
        <f t="shared" si="30"/>
        <v>0</v>
      </c>
      <c r="AC34">
        <f t="shared" si="31"/>
        <v>0</v>
      </c>
      <c r="AE34">
        <f t="shared" si="32"/>
        <v>0</v>
      </c>
      <c r="AF34">
        <f t="shared" si="22"/>
        <v>0</v>
      </c>
      <c r="AG34">
        <f t="shared" si="23"/>
        <v>0</v>
      </c>
      <c r="AH34">
        <f t="shared" si="24"/>
        <v>0</v>
      </c>
      <c r="AI34">
        <f t="shared" si="25"/>
        <v>0</v>
      </c>
      <c r="AK34">
        <f t="shared" si="26"/>
        <v>0</v>
      </c>
      <c r="AL34">
        <f t="shared" si="33"/>
        <v>0</v>
      </c>
      <c r="AM34">
        <f t="shared" si="34"/>
        <v>0</v>
      </c>
    </row>
    <row r="35" spans="1:39" ht="12.75">
      <c r="A35" s="391">
        <v>6</v>
      </c>
      <c r="B35" s="374"/>
      <c r="C35" s="376"/>
      <c r="D35" s="374"/>
      <c r="E35" s="376"/>
      <c r="F35" s="376"/>
      <c r="G35" s="376"/>
      <c r="H35" s="376"/>
      <c r="I35" s="376"/>
      <c r="J35" s="376"/>
      <c r="K35" s="374"/>
      <c r="L35" s="374"/>
      <c r="M35" s="374"/>
      <c r="N35" s="374"/>
      <c r="O35" s="374"/>
      <c r="P35" s="374"/>
      <c r="Q35" s="82"/>
      <c r="R35" s="366">
        <f t="shared" si="35"/>
        <v>0</v>
      </c>
      <c r="S35">
        <f t="shared" si="27"/>
        <v>0</v>
      </c>
      <c r="U35">
        <f t="shared" si="18"/>
        <v>0</v>
      </c>
      <c r="V35">
        <f t="shared" si="19"/>
        <v>0</v>
      </c>
      <c r="W35">
        <f t="shared" si="20"/>
        <v>0</v>
      </c>
      <c r="X35">
        <f t="shared" si="21"/>
        <v>0</v>
      </c>
      <c r="Z35">
        <f t="shared" si="28"/>
        <v>0</v>
      </c>
      <c r="AA35">
        <f t="shared" si="29"/>
        <v>0</v>
      </c>
      <c r="AB35">
        <f t="shared" si="30"/>
        <v>0</v>
      </c>
      <c r="AC35">
        <f t="shared" si="31"/>
        <v>0</v>
      </c>
      <c r="AE35">
        <f t="shared" si="32"/>
        <v>0</v>
      </c>
      <c r="AF35">
        <f t="shared" si="22"/>
        <v>0</v>
      </c>
      <c r="AG35">
        <f t="shared" si="23"/>
        <v>0</v>
      </c>
      <c r="AH35">
        <f t="shared" si="24"/>
        <v>0</v>
      </c>
      <c r="AI35">
        <f t="shared" si="25"/>
        <v>0</v>
      </c>
      <c r="AK35">
        <f t="shared" si="26"/>
        <v>0</v>
      </c>
      <c r="AL35">
        <f t="shared" si="33"/>
        <v>0</v>
      </c>
      <c r="AM35">
        <f t="shared" si="34"/>
        <v>0</v>
      </c>
    </row>
    <row r="36" spans="1:39" ht="12.75">
      <c r="A36" s="391">
        <v>7</v>
      </c>
      <c r="B36" s="391"/>
      <c r="C36" s="386"/>
      <c r="D36" s="391"/>
      <c r="E36" s="386"/>
      <c r="F36" s="386"/>
      <c r="G36" s="386"/>
      <c r="H36" s="386"/>
      <c r="I36" s="386"/>
      <c r="J36" s="386"/>
      <c r="K36" s="391"/>
      <c r="L36" s="391"/>
      <c r="M36" s="391"/>
      <c r="N36" s="391"/>
      <c r="O36" s="391"/>
      <c r="P36" s="391"/>
      <c r="R36" s="366">
        <f t="shared" si="35"/>
        <v>0</v>
      </c>
      <c r="S36">
        <f t="shared" si="27"/>
        <v>0</v>
      </c>
      <c r="U36">
        <f t="shared" si="18"/>
        <v>0</v>
      </c>
      <c r="V36">
        <f t="shared" si="19"/>
        <v>0</v>
      </c>
      <c r="W36">
        <f t="shared" si="20"/>
        <v>0</v>
      </c>
      <c r="X36">
        <f t="shared" si="21"/>
        <v>0</v>
      </c>
      <c r="Z36">
        <f t="shared" si="28"/>
        <v>0</v>
      </c>
      <c r="AA36">
        <f t="shared" si="29"/>
        <v>0</v>
      </c>
      <c r="AB36">
        <f t="shared" si="30"/>
        <v>0</v>
      </c>
      <c r="AC36">
        <f t="shared" si="31"/>
        <v>0</v>
      </c>
      <c r="AE36">
        <f t="shared" si="32"/>
        <v>0</v>
      </c>
      <c r="AF36">
        <f t="shared" si="22"/>
        <v>0</v>
      </c>
      <c r="AG36">
        <f t="shared" si="23"/>
        <v>0</v>
      </c>
      <c r="AH36">
        <f t="shared" si="24"/>
        <v>0</v>
      </c>
      <c r="AI36">
        <f t="shared" si="25"/>
        <v>0</v>
      </c>
      <c r="AK36">
        <f t="shared" si="26"/>
        <v>0</v>
      </c>
      <c r="AL36">
        <f t="shared" si="33"/>
        <v>0</v>
      </c>
      <c r="AM36">
        <f t="shared" si="34"/>
        <v>0</v>
      </c>
    </row>
    <row r="37" spans="1:39" ht="12.75">
      <c r="A37" s="391">
        <v>8</v>
      </c>
      <c r="B37" s="391"/>
      <c r="C37" s="391"/>
      <c r="D37" s="391"/>
      <c r="E37" s="386"/>
      <c r="F37" s="386"/>
      <c r="G37" s="386"/>
      <c r="H37" s="386"/>
      <c r="I37" s="386"/>
      <c r="J37" s="386"/>
      <c r="K37" s="391"/>
      <c r="L37" s="391"/>
      <c r="M37" s="391"/>
      <c r="N37" s="391"/>
      <c r="O37" s="391"/>
      <c r="P37" s="391"/>
      <c r="R37" s="366">
        <f t="shared" si="35"/>
        <v>0</v>
      </c>
      <c r="S37">
        <f t="shared" si="27"/>
        <v>0</v>
      </c>
      <c r="U37">
        <f t="shared" si="18"/>
        <v>0</v>
      </c>
      <c r="V37">
        <f t="shared" si="19"/>
        <v>0</v>
      </c>
      <c r="W37">
        <f t="shared" si="20"/>
        <v>0</v>
      </c>
      <c r="X37">
        <f t="shared" si="21"/>
        <v>0</v>
      </c>
      <c r="Z37">
        <f t="shared" si="28"/>
        <v>0</v>
      </c>
      <c r="AA37">
        <f t="shared" si="29"/>
        <v>0</v>
      </c>
      <c r="AB37">
        <f t="shared" si="30"/>
        <v>0</v>
      </c>
      <c r="AC37">
        <f t="shared" si="31"/>
        <v>0</v>
      </c>
      <c r="AE37">
        <f t="shared" si="32"/>
        <v>0</v>
      </c>
      <c r="AF37">
        <f t="shared" si="22"/>
        <v>0</v>
      </c>
      <c r="AG37">
        <f t="shared" si="23"/>
        <v>0</v>
      </c>
      <c r="AH37">
        <f t="shared" si="24"/>
        <v>0</v>
      </c>
      <c r="AI37">
        <f t="shared" si="25"/>
        <v>0</v>
      </c>
      <c r="AK37">
        <f t="shared" si="26"/>
        <v>0</v>
      </c>
      <c r="AL37">
        <f t="shared" si="33"/>
        <v>0</v>
      </c>
      <c r="AM37">
        <f t="shared" si="34"/>
        <v>0</v>
      </c>
    </row>
    <row r="38" spans="1:39" ht="12.75">
      <c r="A38" s="391">
        <v>9</v>
      </c>
      <c r="B38" s="391"/>
      <c r="C38" s="391"/>
      <c r="D38" s="391"/>
      <c r="E38" s="386"/>
      <c r="F38" s="386"/>
      <c r="G38" s="386"/>
      <c r="H38" s="386"/>
      <c r="I38" s="386"/>
      <c r="J38" s="386"/>
      <c r="K38" s="391"/>
      <c r="L38" s="391"/>
      <c r="M38" s="391"/>
      <c r="N38" s="391"/>
      <c r="O38" s="391"/>
      <c r="P38" s="391"/>
      <c r="R38" s="366">
        <f t="shared" si="35"/>
        <v>0</v>
      </c>
      <c r="S38">
        <f t="shared" si="27"/>
        <v>0</v>
      </c>
      <c r="U38">
        <f t="shared" si="18"/>
        <v>0</v>
      </c>
      <c r="V38">
        <f t="shared" si="19"/>
        <v>0</v>
      </c>
      <c r="W38">
        <f t="shared" si="20"/>
        <v>0</v>
      </c>
      <c r="X38">
        <f t="shared" si="21"/>
        <v>0</v>
      </c>
      <c r="Z38">
        <f t="shared" si="28"/>
        <v>0</v>
      </c>
      <c r="AA38">
        <f t="shared" si="29"/>
        <v>0</v>
      </c>
      <c r="AB38">
        <f t="shared" si="30"/>
        <v>0</v>
      </c>
      <c r="AC38">
        <f t="shared" si="31"/>
        <v>0</v>
      </c>
      <c r="AE38">
        <f t="shared" si="32"/>
        <v>0</v>
      </c>
      <c r="AF38">
        <f t="shared" si="22"/>
        <v>0</v>
      </c>
      <c r="AG38">
        <f t="shared" si="23"/>
        <v>0</v>
      </c>
      <c r="AH38">
        <f t="shared" si="24"/>
        <v>0</v>
      </c>
      <c r="AI38">
        <f t="shared" si="25"/>
        <v>0</v>
      </c>
      <c r="AK38">
        <f t="shared" si="26"/>
        <v>0</v>
      </c>
      <c r="AL38">
        <f t="shared" si="33"/>
        <v>0</v>
      </c>
      <c r="AM38">
        <f t="shared" si="34"/>
        <v>0</v>
      </c>
    </row>
    <row r="39" spans="1:39" ht="12.75">
      <c r="A39" s="391">
        <v>10</v>
      </c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R39" s="366">
        <f t="shared" si="35"/>
        <v>0</v>
      </c>
      <c r="S39">
        <f t="shared" si="27"/>
        <v>0</v>
      </c>
      <c r="U39">
        <f t="shared" si="18"/>
        <v>0</v>
      </c>
      <c r="V39">
        <f t="shared" si="19"/>
        <v>0</v>
      </c>
      <c r="W39">
        <f t="shared" si="20"/>
        <v>0</v>
      </c>
      <c r="X39">
        <f t="shared" si="21"/>
        <v>0</v>
      </c>
      <c r="Z39">
        <f t="shared" si="28"/>
        <v>0</v>
      </c>
      <c r="AA39">
        <f t="shared" si="29"/>
        <v>0</v>
      </c>
      <c r="AB39">
        <f t="shared" si="30"/>
        <v>0</v>
      </c>
      <c r="AC39">
        <f t="shared" si="31"/>
        <v>0</v>
      </c>
      <c r="AE39">
        <f t="shared" si="32"/>
        <v>0</v>
      </c>
      <c r="AF39">
        <f t="shared" si="22"/>
        <v>0</v>
      </c>
      <c r="AG39">
        <f t="shared" si="23"/>
        <v>0</v>
      </c>
      <c r="AH39">
        <f t="shared" si="24"/>
        <v>0</v>
      </c>
      <c r="AI39">
        <f t="shared" si="25"/>
        <v>0</v>
      </c>
      <c r="AK39">
        <f t="shared" si="26"/>
        <v>0</v>
      </c>
      <c r="AL39">
        <f t="shared" si="33"/>
        <v>0</v>
      </c>
      <c r="AM39">
        <f t="shared" si="34"/>
        <v>0</v>
      </c>
    </row>
    <row r="40" spans="2:18" ht="12.75">
      <c r="B40" s="387" t="s">
        <v>306</v>
      </c>
      <c r="D40" s="369"/>
      <c r="E40">
        <f>SUM(E30:E39)</f>
        <v>0</v>
      </c>
      <c r="F40">
        <f>SUM(F30:F39)</f>
        <v>0</v>
      </c>
      <c r="G40">
        <f>SUM(G30:G39)</f>
        <v>0</v>
      </c>
      <c r="H40">
        <f>SUM(H30:H39)</f>
        <v>0</v>
      </c>
      <c r="I40" s="388">
        <f>Z41</f>
        <v>0</v>
      </c>
      <c r="J40" s="369">
        <f>SUM(J30:J39)</f>
        <v>0</v>
      </c>
      <c r="K40">
        <f>SUM(K30:K39)</f>
        <v>0</v>
      </c>
      <c r="L40">
        <f>SUM(L30:L39)</f>
        <v>0</v>
      </c>
      <c r="M40">
        <f>SUM(M30:M39)</f>
        <v>0</v>
      </c>
      <c r="N40">
        <f>SUM(N30:N39)</f>
        <v>0</v>
      </c>
      <c r="O40" s="388">
        <f>AB41</f>
        <v>0</v>
      </c>
      <c r="P40" s="369">
        <f>SUM(P30:P39)</f>
        <v>0</v>
      </c>
      <c r="R40" s="366"/>
    </row>
    <row r="41" spans="4:39" ht="12.75">
      <c r="D41" s="369"/>
      <c r="E41">
        <f>E40+F40+G40+H40</f>
        <v>0</v>
      </c>
      <c r="I41" s="388">
        <f>AA41</f>
        <v>0</v>
      </c>
      <c r="J41" s="369"/>
      <c r="K41">
        <f>K40+L40+M40+N40</f>
        <v>0</v>
      </c>
      <c r="O41" s="388">
        <f>AC41</f>
        <v>0</v>
      </c>
      <c r="P41" s="369"/>
      <c r="R41" s="366">
        <f>SUM(R30:R39)</f>
        <v>0</v>
      </c>
      <c r="S41">
        <f>SUM(S30:S39)</f>
        <v>0</v>
      </c>
      <c r="U41" s="82"/>
      <c r="V41" s="82"/>
      <c r="W41" s="82"/>
      <c r="X41" s="82"/>
      <c r="Z41">
        <f>SUM(Z30:Z39)</f>
        <v>0</v>
      </c>
      <c r="AA41">
        <f>SUM(AA30:AA39)</f>
        <v>0</v>
      </c>
      <c r="AB41">
        <f>SUM(AB30:AB39)</f>
        <v>0</v>
      </c>
      <c r="AC41">
        <f>SUM(AC30:AC39)</f>
        <v>0</v>
      </c>
      <c r="AE41">
        <f>SUM(AE5:AE39)</f>
        <v>60</v>
      </c>
      <c r="AF41">
        <f>SUM(AF5:AF39)</f>
        <v>10</v>
      </c>
      <c r="AG41">
        <f>SUM(AG5:AG39)</f>
        <v>48</v>
      </c>
      <c r="AH41">
        <f>SUM(AH5:AH39)</f>
        <v>0</v>
      </c>
      <c r="AI41">
        <f>SUM(AI5:AI39)</f>
        <v>2</v>
      </c>
      <c r="AK41">
        <f>SUM(AK5:AK39)</f>
        <v>2</v>
      </c>
      <c r="AL41">
        <f>SUM(AL5:AL39)</f>
        <v>0</v>
      </c>
      <c r="AM41">
        <f>SUM(AM5:AM39)</f>
        <v>2</v>
      </c>
    </row>
    <row r="42" spans="4:18" ht="12.75">
      <c r="D42" s="17"/>
      <c r="I42" s="389" t="s">
        <v>305</v>
      </c>
      <c r="J42" s="17"/>
      <c r="O42" s="389" t="s">
        <v>305</v>
      </c>
      <c r="P42" s="17"/>
      <c r="R42" s="366"/>
    </row>
    <row r="43" spans="18:19" ht="12.75">
      <c r="R43" s="366"/>
      <c r="S43" s="82"/>
    </row>
    <row r="44" spans="2:29" ht="12.75">
      <c r="B44" s="364" t="s">
        <v>307</v>
      </c>
      <c r="D44" s="369"/>
      <c r="E44">
        <f>E25+E40</f>
        <v>14</v>
      </c>
      <c r="F44">
        <f>F25+F40</f>
        <v>6</v>
      </c>
      <c r="G44">
        <f>G25+G40</f>
        <v>6</v>
      </c>
      <c r="H44">
        <f>H25+H40</f>
        <v>0</v>
      </c>
      <c r="I44" s="388">
        <f>Z44</f>
        <v>6</v>
      </c>
      <c r="J44" s="369">
        <f>J25+J40</f>
        <v>30</v>
      </c>
      <c r="K44">
        <f>K25+K40</f>
        <v>10</v>
      </c>
      <c r="L44">
        <f>L25+L40</f>
        <v>6</v>
      </c>
      <c r="M44">
        <f>M25+M40</f>
        <v>6</v>
      </c>
      <c r="N44">
        <f>N25+N40</f>
        <v>4</v>
      </c>
      <c r="O44" s="388">
        <f>AB44</f>
        <v>4</v>
      </c>
      <c r="P44" s="369">
        <f>P25+P40</f>
        <v>30</v>
      </c>
      <c r="R44" s="366"/>
      <c r="U44" s="82">
        <f>SUM(U5:U39)</f>
        <v>126</v>
      </c>
      <c r="V44" s="82">
        <f>SUM(V5:V39)</f>
        <v>664</v>
      </c>
      <c r="W44" s="82">
        <f>SUM(W5:W39)</f>
        <v>0</v>
      </c>
      <c r="X44" s="82">
        <f>SUM(X5:X39)</f>
        <v>28</v>
      </c>
      <c r="Z44">
        <f>Z26+Z41</f>
        <v>6</v>
      </c>
      <c r="AA44">
        <f>AA26+AA41</f>
        <v>2</v>
      </c>
      <c r="AB44">
        <f>AB26+AB41</f>
        <v>4</v>
      </c>
      <c r="AC44">
        <f>AC26+AC41</f>
        <v>5</v>
      </c>
    </row>
    <row r="45" spans="2:24" ht="12.75">
      <c r="B45" s="364"/>
      <c r="D45" s="369"/>
      <c r="E45">
        <f>E44+F44+G44+H44</f>
        <v>26</v>
      </c>
      <c r="I45" s="388">
        <f>AA44</f>
        <v>2</v>
      </c>
      <c r="J45" s="369"/>
      <c r="K45">
        <f>K44+L44+M44+N44</f>
        <v>26</v>
      </c>
      <c r="O45" s="388">
        <f>AC44</f>
        <v>5</v>
      </c>
      <c r="P45" s="369"/>
      <c r="Q45" s="392">
        <f>R45+S45</f>
        <v>1500</v>
      </c>
      <c r="R45" s="366">
        <f>R26+R41</f>
        <v>682</v>
      </c>
      <c r="S45">
        <f>S26+S41</f>
        <v>818</v>
      </c>
      <c r="U45" s="82">
        <f>SUM(U44:X44)</f>
        <v>818</v>
      </c>
      <c r="V45" s="82"/>
      <c r="W45" s="82"/>
      <c r="X45" s="82"/>
    </row>
    <row r="46" spans="2:18" ht="12.75">
      <c r="B46" s="364"/>
      <c r="D46" s="17"/>
      <c r="I46" s="389" t="s">
        <v>305</v>
      </c>
      <c r="J46" s="17"/>
      <c r="O46" s="389" t="s">
        <v>305</v>
      </c>
      <c r="P46" s="17"/>
      <c r="Q46" s="393" t="str">
        <f>IF(Q45=R1*(J44+P44),"OK","BAD")</f>
        <v>OK</v>
      </c>
      <c r="R46" s="366"/>
    </row>
    <row r="47" ht="12.75">
      <c r="R47" s="366"/>
    </row>
    <row r="48" spans="1:18" ht="12.75">
      <c r="A48" s="372" t="s">
        <v>293</v>
      </c>
      <c r="B48" s="372" t="s">
        <v>14</v>
      </c>
      <c r="C48" s="372" t="s">
        <v>294</v>
      </c>
      <c r="D48" s="373" t="s">
        <v>295</v>
      </c>
      <c r="E48" s="372" t="s">
        <v>9</v>
      </c>
      <c r="F48" s="372" t="s">
        <v>10</v>
      </c>
      <c r="G48" s="372" t="s">
        <v>11</v>
      </c>
      <c r="H48" s="372" t="s">
        <v>12</v>
      </c>
      <c r="I48" s="372" t="s">
        <v>296</v>
      </c>
      <c r="J48" s="373" t="s">
        <v>297</v>
      </c>
      <c r="K48" s="372" t="s">
        <v>9</v>
      </c>
      <c r="L48" s="372" t="s">
        <v>10</v>
      </c>
      <c r="M48" s="372" t="s">
        <v>11</v>
      </c>
      <c r="N48" s="372" t="s">
        <v>12</v>
      </c>
      <c r="O48" s="372" t="s">
        <v>296</v>
      </c>
      <c r="P48" s="373" t="s">
        <v>297</v>
      </c>
      <c r="R48" s="366"/>
    </row>
    <row r="49" spans="1:29" ht="12.75">
      <c r="A49" s="374">
        <v>1</v>
      </c>
      <c r="B49" s="374" t="s">
        <v>151</v>
      </c>
      <c r="C49" s="376" t="s">
        <v>308</v>
      </c>
      <c r="D49" s="376" t="s">
        <v>309</v>
      </c>
      <c r="E49" s="376">
        <v>2</v>
      </c>
      <c r="F49" s="376">
        <v>2</v>
      </c>
      <c r="G49" s="376"/>
      <c r="H49" s="376"/>
      <c r="I49" s="376" t="s">
        <v>81</v>
      </c>
      <c r="J49" s="376">
        <v>5</v>
      </c>
      <c r="K49" s="376"/>
      <c r="L49" s="376"/>
      <c r="M49" s="376"/>
      <c r="N49" s="376"/>
      <c r="O49" s="376"/>
      <c r="P49" s="376"/>
      <c r="R49" s="366">
        <f>(J49+P49)*$R$1-S49</f>
        <v>69</v>
      </c>
      <c r="S49">
        <f aca="true" t="shared" si="36" ref="S49:S58">SUM(E49:H49)*14+SUM(K49:N49)*14</f>
        <v>56</v>
      </c>
      <c r="Z49">
        <f aca="true" t="shared" si="37" ref="Z49:Z58">IF(I49="E",1,0)</f>
        <v>1</v>
      </c>
      <c r="AA49">
        <f aca="true" t="shared" si="38" ref="AA49:AA58">IF(I49="C",1,0)</f>
        <v>0</v>
      </c>
      <c r="AB49">
        <f aca="true" t="shared" si="39" ref="AB49:AB58">IF(O49="E",1,0)</f>
        <v>0</v>
      </c>
      <c r="AC49">
        <f aca="true" t="shared" si="40" ref="AC49:AC58">IF(O49="C",1,0)</f>
        <v>0</v>
      </c>
    </row>
    <row r="50" spans="1:29" ht="12.75">
      <c r="A50" s="374">
        <v>2</v>
      </c>
      <c r="B50" s="374" t="s">
        <v>153</v>
      </c>
      <c r="C50" s="376" t="s">
        <v>308</v>
      </c>
      <c r="D50" s="376" t="s">
        <v>309</v>
      </c>
      <c r="E50" s="376"/>
      <c r="F50" s="376"/>
      <c r="G50" s="376"/>
      <c r="H50" s="376"/>
      <c r="I50" s="376"/>
      <c r="J50" s="376"/>
      <c r="K50" s="376">
        <v>2</v>
      </c>
      <c r="L50" s="376">
        <v>2</v>
      </c>
      <c r="M50" s="376"/>
      <c r="N50" s="376"/>
      <c r="O50" s="376" t="s">
        <v>81</v>
      </c>
      <c r="P50" s="376">
        <v>5</v>
      </c>
      <c r="R50" s="366">
        <f aca="true" t="shared" si="41" ref="R50:R58">(J50+P50)*$R$1-S50</f>
        <v>69</v>
      </c>
      <c r="S50">
        <f t="shared" si="36"/>
        <v>56</v>
      </c>
      <c r="Z50">
        <f t="shared" si="37"/>
        <v>0</v>
      </c>
      <c r="AA50">
        <f t="shared" si="38"/>
        <v>0</v>
      </c>
      <c r="AB50">
        <f t="shared" si="39"/>
        <v>1</v>
      </c>
      <c r="AC50">
        <f t="shared" si="40"/>
        <v>0</v>
      </c>
    </row>
    <row r="51" spans="1:29" ht="12.75">
      <c r="A51" s="374">
        <v>3</v>
      </c>
      <c r="B51" s="374"/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R51" s="366">
        <f t="shared" si="41"/>
        <v>0</v>
      </c>
      <c r="S51">
        <f t="shared" si="36"/>
        <v>0</v>
      </c>
      <c r="Z51">
        <f t="shared" si="37"/>
        <v>0</v>
      </c>
      <c r="AA51">
        <f t="shared" si="38"/>
        <v>0</v>
      </c>
      <c r="AB51">
        <f t="shared" si="39"/>
        <v>0</v>
      </c>
      <c r="AC51">
        <f t="shared" si="40"/>
        <v>0</v>
      </c>
    </row>
    <row r="52" spans="1:29" ht="12.75">
      <c r="A52" s="374">
        <v>4</v>
      </c>
      <c r="B52" s="374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R52" s="366">
        <f t="shared" si="41"/>
        <v>0</v>
      </c>
      <c r="S52">
        <f t="shared" si="36"/>
        <v>0</v>
      </c>
      <c r="Z52">
        <f t="shared" si="37"/>
        <v>0</v>
      </c>
      <c r="AA52">
        <f t="shared" si="38"/>
        <v>0</v>
      </c>
      <c r="AB52">
        <f t="shared" si="39"/>
        <v>0</v>
      </c>
      <c r="AC52">
        <f t="shared" si="40"/>
        <v>0</v>
      </c>
    </row>
    <row r="53" spans="1:29" ht="12.75">
      <c r="A53" s="391">
        <v>5</v>
      </c>
      <c r="B53" s="374"/>
      <c r="C53" s="376"/>
      <c r="D53" s="374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R53" s="366">
        <f t="shared" si="41"/>
        <v>0</v>
      </c>
      <c r="S53">
        <f t="shared" si="36"/>
        <v>0</v>
      </c>
      <c r="Z53">
        <f t="shared" si="37"/>
        <v>0</v>
      </c>
      <c r="AA53">
        <f t="shared" si="38"/>
        <v>0</v>
      </c>
      <c r="AB53">
        <f t="shared" si="39"/>
        <v>0</v>
      </c>
      <c r="AC53">
        <f t="shared" si="40"/>
        <v>0</v>
      </c>
    </row>
    <row r="54" spans="1:29" ht="12.75">
      <c r="A54" s="391">
        <v>6</v>
      </c>
      <c r="B54" s="374"/>
      <c r="C54" s="376"/>
      <c r="D54" s="374"/>
      <c r="E54" s="374"/>
      <c r="F54" s="374"/>
      <c r="G54" s="374"/>
      <c r="H54" s="374"/>
      <c r="I54" s="376"/>
      <c r="J54" s="374"/>
      <c r="K54" s="374"/>
      <c r="L54" s="376"/>
      <c r="M54" s="374"/>
      <c r="N54" s="374"/>
      <c r="O54" s="376"/>
      <c r="P54" s="376"/>
      <c r="R54" s="366">
        <f t="shared" si="41"/>
        <v>0</v>
      </c>
      <c r="S54">
        <f t="shared" si="36"/>
        <v>0</v>
      </c>
      <c r="Z54">
        <f t="shared" si="37"/>
        <v>0</v>
      </c>
      <c r="AA54">
        <f t="shared" si="38"/>
        <v>0</v>
      </c>
      <c r="AB54">
        <f t="shared" si="39"/>
        <v>0</v>
      </c>
      <c r="AC54">
        <f t="shared" si="40"/>
        <v>0</v>
      </c>
    </row>
    <row r="55" spans="1:29" ht="12.75">
      <c r="A55" s="391">
        <v>7</v>
      </c>
      <c r="B55" s="374"/>
      <c r="C55" s="376"/>
      <c r="D55" s="374"/>
      <c r="E55" s="374"/>
      <c r="F55" s="374"/>
      <c r="G55" s="374"/>
      <c r="H55" s="374"/>
      <c r="I55" s="376"/>
      <c r="J55" s="374"/>
      <c r="K55" s="374"/>
      <c r="L55" s="376"/>
      <c r="M55" s="374"/>
      <c r="N55" s="374"/>
      <c r="O55" s="376"/>
      <c r="P55" s="376"/>
      <c r="R55" s="366">
        <f t="shared" si="41"/>
        <v>0</v>
      </c>
      <c r="S55">
        <f t="shared" si="36"/>
        <v>0</v>
      </c>
      <c r="Z55">
        <f t="shared" si="37"/>
        <v>0</v>
      </c>
      <c r="AA55">
        <f t="shared" si="38"/>
        <v>0</v>
      </c>
      <c r="AB55">
        <f t="shared" si="39"/>
        <v>0</v>
      </c>
      <c r="AC55">
        <f t="shared" si="40"/>
        <v>0</v>
      </c>
    </row>
    <row r="56" spans="1:29" ht="12.75">
      <c r="A56" s="391">
        <v>8</v>
      </c>
      <c r="B56" s="391"/>
      <c r="C56" s="386"/>
      <c r="D56" s="391"/>
      <c r="E56" s="391"/>
      <c r="F56" s="391"/>
      <c r="G56" s="391"/>
      <c r="H56" s="391"/>
      <c r="I56" s="386"/>
      <c r="J56" s="391"/>
      <c r="K56" s="391"/>
      <c r="L56" s="391"/>
      <c r="M56" s="391"/>
      <c r="N56" s="391"/>
      <c r="O56" s="391"/>
      <c r="P56" s="391"/>
      <c r="R56" s="366">
        <f t="shared" si="41"/>
        <v>0</v>
      </c>
      <c r="S56">
        <f t="shared" si="36"/>
        <v>0</v>
      </c>
      <c r="Z56">
        <f t="shared" si="37"/>
        <v>0</v>
      </c>
      <c r="AA56">
        <f t="shared" si="38"/>
        <v>0</v>
      </c>
      <c r="AB56">
        <f t="shared" si="39"/>
        <v>0</v>
      </c>
      <c r="AC56">
        <f t="shared" si="40"/>
        <v>0</v>
      </c>
    </row>
    <row r="57" spans="1:29" ht="12.75">
      <c r="A57" s="391">
        <v>9</v>
      </c>
      <c r="B57" s="391"/>
      <c r="C57" s="386"/>
      <c r="D57" s="391"/>
      <c r="E57" s="391"/>
      <c r="F57" s="391"/>
      <c r="G57" s="391"/>
      <c r="H57" s="391"/>
      <c r="I57" s="386"/>
      <c r="J57" s="391"/>
      <c r="K57" s="391"/>
      <c r="L57" s="391"/>
      <c r="M57" s="391"/>
      <c r="N57" s="391"/>
      <c r="O57" s="391"/>
      <c r="P57" s="391"/>
      <c r="R57" s="366">
        <f t="shared" si="41"/>
        <v>0</v>
      </c>
      <c r="S57">
        <f t="shared" si="36"/>
        <v>0</v>
      </c>
      <c r="Z57">
        <f t="shared" si="37"/>
        <v>0</v>
      </c>
      <c r="AA57">
        <f t="shared" si="38"/>
        <v>0</v>
      </c>
      <c r="AB57">
        <f t="shared" si="39"/>
        <v>0</v>
      </c>
      <c r="AC57">
        <f t="shared" si="40"/>
        <v>0</v>
      </c>
    </row>
    <row r="58" spans="1:29" ht="12.75">
      <c r="A58" s="391">
        <v>10</v>
      </c>
      <c r="B58" s="391"/>
      <c r="C58" s="386"/>
      <c r="D58" s="391"/>
      <c r="E58" s="391"/>
      <c r="F58" s="391"/>
      <c r="G58" s="391"/>
      <c r="H58" s="391"/>
      <c r="I58" s="386"/>
      <c r="J58" s="391"/>
      <c r="K58" s="391"/>
      <c r="L58" s="391"/>
      <c r="M58" s="391"/>
      <c r="N58" s="391"/>
      <c r="O58" s="391"/>
      <c r="P58" s="391"/>
      <c r="R58" s="366">
        <f t="shared" si="41"/>
        <v>0</v>
      </c>
      <c r="S58">
        <f t="shared" si="36"/>
        <v>0</v>
      </c>
      <c r="Z58">
        <f t="shared" si="37"/>
        <v>0</v>
      </c>
      <c r="AA58">
        <f t="shared" si="38"/>
        <v>0</v>
      </c>
      <c r="AB58">
        <f t="shared" si="39"/>
        <v>0</v>
      </c>
      <c r="AC58">
        <f t="shared" si="40"/>
        <v>0</v>
      </c>
    </row>
    <row r="59" spans="2:18" ht="12.75">
      <c r="B59" s="387" t="s">
        <v>311</v>
      </c>
      <c r="D59" s="369"/>
      <c r="E59">
        <f>SUM(E49:E58)</f>
        <v>2</v>
      </c>
      <c r="F59">
        <f>SUM(F49:F58)</f>
        <v>2</v>
      </c>
      <c r="G59">
        <f>SUM(G49:G58)</f>
        <v>0</v>
      </c>
      <c r="H59">
        <f>SUM(H49:H58)</f>
        <v>0</v>
      </c>
      <c r="I59" s="388">
        <f>Z60</f>
        <v>1</v>
      </c>
      <c r="J59" s="369">
        <f>SUM(J49:J58)</f>
        <v>5</v>
      </c>
      <c r="K59">
        <f>SUM(K49:K58)</f>
        <v>2</v>
      </c>
      <c r="L59">
        <f>SUM(L49:L58)</f>
        <v>2</v>
      </c>
      <c r="M59">
        <f>SUM(M49:M58)</f>
        <v>0</v>
      </c>
      <c r="N59">
        <f>SUM(N49:N58)</f>
        <v>0</v>
      </c>
      <c r="O59" s="388">
        <f>AB60</f>
        <v>1</v>
      </c>
      <c r="P59" s="369">
        <f>SUM(P49:P58)</f>
        <v>5</v>
      </c>
      <c r="R59" s="366"/>
    </row>
    <row r="60" spans="4:80" ht="12.75">
      <c r="D60" s="369"/>
      <c r="E60">
        <f>E59+F59+G59+H59</f>
        <v>4</v>
      </c>
      <c r="I60" s="388">
        <f>AA60</f>
        <v>0</v>
      </c>
      <c r="J60" s="369"/>
      <c r="K60">
        <f>K59+L59+M59+N59</f>
        <v>4</v>
      </c>
      <c r="O60" s="388">
        <f>AC60</f>
        <v>0</v>
      </c>
      <c r="P60" s="369"/>
      <c r="Q60" s="392">
        <f>R60+S60</f>
        <v>250</v>
      </c>
      <c r="R60" s="366">
        <f>SUM(R49:R58)</f>
        <v>138</v>
      </c>
      <c r="S60">
        <f>SUM(S49:S58)</f>
        <v>112</v>
      </c>
      <c r="U60" s="82"/>
      <c r="V60" s="82"/>
      <c r="W60" s="82"/>
      <c r="X60" s="82"/>
      <c r="Y60" s="82"/>
      <c r="Z60">
        <f>SUM(Z49:Z58)</f>
        <v>1</v>
      </c>
      <c r="AA60">
        <f>SUM(AA49:AA58)</f>
        <v>0</v>
      </c>
      <c r="AB60">
        <f>SUM(AB49:AB58)</f>
        <v>1</v>
      </c>
      <c r="AC60">
        <f>SUM(AC49:AC58)</f>
        <v>0</v>
      </c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</row>
    <row r="61" spans="4:80" ht="12.75">
      <c r="D61" s="17"/>
      <c r="I61" s="389" t="s">
        <v>305</v>
      </c>
      <c r="J61" s="17"/>
      <c r="O61" s="389" t="s">
        <v>305</v>
      </c>
      <c r="P61" s="17"/>
      <c r="Q61" s="393" t="str">
        <f>IF(Q60=R1*(J59+P59),"OK","BAD")</f>
        <v>OK</v>
      </c>
      <c r="R61" s="366"/>
      <c r="U61" s="394"/>
      <c r="V61" s="394"/>
      <c r="W61" s="394"/>
      <c r="X61" s="394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</row>
    <row r="62" spans="18:80" ht="12.75">
      <c r="R62" s="366"/>
      <c r="T62" t="s">
        <v>303</v>
      </c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</row>
    <row r="63" spans="18:80" ht="12.75">
      <c r="R63" s="366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</row>
    <row r="64" spans="18:80" ht="12.75">
      <c r="R64" s="366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</row>
    <row r="65" spans="18:80" ht="12.75">
      <c r="R65" s="366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</row>
    <row r="66" spans="18:80" ht="12.75">
      <c r="R66" s="366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</row>
    <row r="67" spans="18:80" ht="12.75">
      <c r="R67" s="366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</row>
    <row r="68" spans="18:80" ht="12.75">
      <c r="R68" s="366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</row>
    <row r="69" ht="12.75">
      <c r="R69" s="366"/>
    </row>
    <row r="70" ht="12.75">
      <c r="R70" s="36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Universitatea Suceava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P01 Anexa 1.</dc:title>
  <dc:subject/>
  <dc:creator>DMC</dc:creator>
  <cp:keywords/>
  <dc:description/>
  <cp:lastModifiedBy>Delia</cp:lastModifiedBy>
  <cp:lastPrinted>2021-09-27T13:03:19Z</cp:lastPrinted>
  <dcterms:created xsi:type="dcterms:W3CDTF">1998-09-29T12:25:23Z</dcterms:created>
  <dcterms:modified xsi:type="dcterms:W3CDTF">2022-11-06T11:11:08Z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2A3708F4">
    <vt:lpwstr/>
  </property>
  <property fmtid="{D5CDD505-2E9C-101B-9397-08002B2CF9AE}" pid="20" name="IVIDD631307">
    <vt:lpwstr/>
  </property>
  <property fmtid="{D5CDD505-2E9C-101B-9397-08002B2CF9AE}" pid="21" name="IVID10231BE6">
    <vt:lpwstr/>
  </property>
  <property fmtid="{D5CDD505-2E9C-101B-9397-08002B2CF9AE}" pid="22" name="IVID1C180FE9">
    <vt:lpwstr/>
  </property>
  <property fmtid="{D5CDD505-2E9C-101B-9397-08002B2CF9AE}" pid="23" name="IVID10E61F36">
    <vt:lpwstr/>
  </property>
</Properties>
</file>